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90" yWindow="65371" windowWidth="15075" windowHeight="8985" activeTab="0"/>
  </bookViews>
  <sheets>
    <sheet name="home" sheetId="1" r:id="rId1"/>
    <sheet name="contesto" sheetId="2" r:id="rId2"/>
    <sheet name="scelta" sheetId="3" r:id="rId3"/>
    <sheet name="bottom_up" sheetId="4" r:id="rId4"/>
    <sheet name="benchmark" sheetId="5" r:id="rId5"/>
    <sheet name="top_down" sheetId="6" r:id="rId6"/>
    <sheet name="riepilogo" sheetId="7" r:id="rId7"/>
    <sheet name="database" sheetId="8" r:id="rId8"/>
    <sheet name="help" sheetId="9" r:id="rId9"/>
  </sheets>
  <externalReferences>
    <externalReference r:id="rId12"/>
    <externalReference r:id="rId13"/>
  </externalReferences>
  <definedNames>
    <definedName name="_Fill" hidden="1">#REF!</definedName>
    <definedName name="_xlnm.Print_Area" localSheetId="4">'benchmark'!$A$1:$X$45</definedName>
    <definedName name="_xlnm.Print_Area" localSheetId="3">'bottom_up'!$A$1:$L$73</definedName>
    <definedName name="_xlnm.Print_Area" localSheetId="1">'contesto'!$A$1:$L$31</definedName>
    <definedName name="_xlnm.Print_Area" localSheetId="7">'database'!$P$2:$AA$84</definedName>
    <definedName name="_xlnm.Print_Area" localSheetId="6">'riepilogo'!$A$1:$N$28</definedName>
    <definedName name="_xlnm.Print_Area" localSheetId="2">'scelta'!$A$1:$U$27</definedName>
    <definedName name="_xlnm.Print_Area" localSheetId="5">'top_down'!$A$1:$M$43</definedName>
    <definedName name="CRITERIA" localSheetId="7">'database'!#REF!</definedName>
    <definedName name="EXTRACT" localSheetId="7">'database'!#REF!</definedName>
    <definedName name="h_1" localSheetId="4">'benchmark'!#REF!</definedName>
    <definedName name="h_1" localSheetId="3">'bottom_up'!$A$44</definedName>
    <definedName name="h_1" localSheetId="1">'contesto'!$A$47</definedName>
    <definedName name="h_1" localSheetId="0">'home'!#REF!</definedName>
    <definedName name="h_1" localSheetId="6">'riepilogo'!#REF!</definedName>
    <definedName name="h_1" localSheetId="2">'scelta'!#REF!</definedName>
    <definedName name="h_1" localSheetId="5">'top_down'!$A$45</definedName>
    <definedName name="h_1">#REF!</definedName>
    <definedName name="h_2" localSheetId="4">'benchmark'!#REF!</definedName>
    <definedName name="h_2" localSheetId="3">'bottom_up'!$A$45</definedName>
    <definedName name="h_2" localSheetId="1">'contesto'!$A$48</definedName>
    <definedName name="h_2" localSheetId="0">'home'!#REF!</definedName>
    <definedName name="h_2" localSheetId="6">'riepilogo'!#REF!</definedName>
    <definedName name="h_2" localSheetId="2">'scelta'!#REF!</definedName>
    <definedName name="h_2" localSheetId="5">'top_down'!$A$46</definedName>
    <definedName name="h_2">#REF!</definedName>
    <definedName name="hlp_1">'help'!$B$4</definedName>
    <definedName name="hlp_2">'help'!$B$8</definedName>
  </definedNames>
  <calcPr fullCalcOnLoad="1"/>
</workbook>
</file>

<file path=xl/sharedStrings.xml><?xml version="1.0" encoding="utf-8"?>
<sst xmlns="http://schemas.openxmlformats.org/spreadsheetml/2006/main" count="578" uniqueCount="292">
  <si>
    <t>Argentina</t>
  </si>
  <si>
    <t>Australia</t>
  </si>
  <si>
    <t>Austria</t>
  </si>
  <si>
    <t>Belgium</t>
  </si>
  <si>
    <t>Brazil</t>
  </si>
  <si>
    <t>Canada</t>
  </si>
  <si>
    <t>China</t>
  </si>
  <si>
    <t>Croatia</t>
  </si>
  <si>
    <t>Czech Republic</t>
  </si>
  <si>
    <t>Finland</t>
  </si>
  <si>
    <t>France</t>
  </si>
  <si>
    <t>Germany</t>
  </si>
  <si>
    <t>Greece</t>
  </si>
  <si>
    <t>Hungary</t>
  </si>
  <si>
    <t>India</t>
  </si>
  <si>
    <t>Indonesia</t>
  </si>
  <si>
    <t>Japan</t>
  </si>
  <si>
    <t>Korea, South</t>
  </si>
  <si>
    <t>Luxembourg</t>
  </si>
  <si>
    <t>Mexico</t>
  </si>
  <si>
    <t>Netherlands</t>
  </si>
  <si>
    <t>Norway</t>
  </si>
  <si>
    <t>Poland</t>
  </si>
  <si>
    <t>Russia</t>
  </si>
  <si>
    <t>Slovakia</t>
  </si>
  <si>
    <t>Slovenia</t>
  </si>
  <si>
    <t>Spain</t>
  </si>
  <si>
    <t>Sweden</t>
  </si>
  <si>
    <t>Switzerland</t>
  </si>
  <si>
    <t>Ukraine</t>
  </si>
  <si>
    <t>1.</t>
  </si>
  <si>
    <t>Italy</t>
  </si>
  <si>
    <t>2.</t>
  </si>
  <si>
    <t>Scegli il mercato estero di cui vuoi stimare il potenziale</t>
  </si>
  <si>
    <t>1°</t>
  </si>
  <si>
    <t>2°</t>
  </si>
  <si>
    <t>3°</t>
  </si>
  <si>
    <t>3.</t>
  </si>
  <si>
    <t>4.</t>
  </si>
  <si>
    <t>correl. inversa?</t>
  </si>
  <si>
    <t>bassa</t>
  </si>
  <si>
    <t>elevata</t>
  </si>
  <si>
    <t>Valori effettivi degli indicatori prescelti in Italia e nel Paese target</t>
  </si>
  <si>
    <t>Italia</t>
  </si>
  <si>
    <t>paese</t>
  </si>
  <si>
    <t>colonna</t>
  </si>
  <si>
    <t>Valore effettivo di</t>
  </si>
  <si>
    <t>in Italia e nel Paese target</t>
  </si>
  <si>
    <t>Media ponderata dei moltiplicatori/demoltiplicatori sui parametri prescelti -----------------------&gt;</t>
  </si>
  <si>
    <t>Peso relativo stimato della popolazione nel settore dei non-durable consumer goods</t>
  </si>
  <si>
    <t>Conseguente peso relativo degli altri parametri nel settore dei non-durable consumer goods</t>
  </si>
  <si>
    <t>5.</t>
  </si>
  <si>
    <t>Prodotto</t>
  </si>
  <si>
    <t>Target</t>
  </si>
  <si>
    <t>Altrimenti, lascia in bianco</t>
  </si>
  <si>
    <t>6.</t>
  </si>
  <si>
    <t>Media ponderata complessiva delle due classi di moltiplicatori/demoltiplicatori ------------------&gt;</t>
  </si>
  <si>
    <t>unità di misura:</t>
  </si>
  <si>
    <t>Infine inserisci nella cella a lato la stima della dimensione del mercato italiano (a quantità), con riferimento al segmento di tuo interesse</t>
  </si>
  <si>
    <t>Unità di misura</t>
  </si>
  <si>
    <t>Iper</t>
  </si>
  <si>
    <t>Super</t>
  </si>
  <si>
    <t>Super-</t>
  </si>
  <si>
    <t>Dettaglio</t>
  </si>
  <si>
    <t>Totali</t>
  </si>
  <si>
    <t>mercati</t>
  </si>
  <si>
    <t>ettes</t>
  </si>
  <si>
    <t>tradiz.</t>
  </si>
  <si>
    <t>o medie</t>
  </si>
  <si>
    <t>Mix di acquisti per tipo di operatore</t>
  </si>
  <si>
    <t>Target n. clienti da visitare/anno</t>
  </si>
  <si>
    <t>Target n. visite/cliente/anno</t>
  </si>
  <si>
    <t>N. totale di visite/anno</t>
  </si>
  <si>
    <t>n. gg. necessari per visitare i clienti target</t>
  </si>
  <si>
    <t>N. medio di giornate di lavoro sul campo (per venditore/anno)</t>
  </si>
  <si>
    <t>N. previsto di venditori da assegnare al Paese</t>
  </si>
  <si>
    <t>popolazione</t>
  </si>
  <si>
    <t>(milioni di ab.)</t>
  </si>
  <si>
    <t>($)</t>
  </si>
  <si>
    <t>PIL</t>
  </si>
  <si>
    <t>(miliardi di $)</t>
  </si>
  <si>
    <t>Tre indicatori essenziali, confronto con l'Italia</t>
  </si>
  <si>
    <t>Fatte salve tue indicazioni in contrario, si presumerà che le proiezioni del potenziale si riferiscano alla totalità del Paese estero</t>
  </si>
  <si>
    <t>(prende da T7</t>
  </si>
  <si>
    <t>Mercato di riferimento</t>
  </si>
  <si>
    <t>area di interesse</t>
  </si>
  <si>
    <t>totale (miliardi di $)</t>
  </si>
  <si>
    <t>… in questo caso, il PIL e la popolazione dell'area di interesse rispetto a quelli dell'Italia saranno pari a circa</t>
  </si>
  <si>
    <t>popolaz.</t>
  </si>
  <si>
    <t>stima anche la corrispondente % di popolazione</t>
  </si>
  <si>
    <t>stima anche la corrispondente % di PIL</t>
  </si>
  <si>
    <t>Se invece ritieni più sensato fare riferimento a una porzione del mercato (ad esempio, alcune città o regioni importanti), anche in funzione degli obiettivi di penetrazione della tua azienda, indica qui a lato le percentuali della popolazione e del PIL del Paese che orientativamente ritieni corrispondano a tale porzione</t>
  </si>
  <si>
    <t>totale (milioni di abitanti)</t>
  </si>
  <si>
    <t>bottom-up</t>
  </si>
  <si>
    <t>benchmark</t>
  </si>
  <si>
    <t>nel foglio contesto)</t>
  </si>
  <si>
    <t>n. orientativo di p. vendita</t>
  </si>
  <si>
    <t>Riepilogo n. di operatori</t>
  </si>
  <si>
    <t>HORECA</t>
  </si>
  <si>
    <t>Ingrosso</t>
  </si>
  <si>
    <t>n. di punti vendita</t>
  </si>
  <si>
    <t>stima n. di punti vendita</t>
  </si>
  <si>
    <t>p. vendita</t>
  </si>
  <si>
    <t>ab./p.v.</t>
  </si>
  <si>
    <t>valori stimati vs valori calcolati</t>
  </si>
  <si>
    <t>n. orientativo di ab./p.v.</t>
  </si>
  <si>
    <t>Nella parte A ti vengono proposti alcuni punti di riferimento (valori arrotondati) che dovrebbero facilitare almeno in parte la formulazione di stime, nel caso tu non disponga di dati sufficientemente attendibili sulla numerosità degli operatori nel Paese (ed, eventualmente, nell'area) di interesse.</t>
  </si>
  <si>
    <t>Inserisci nelle celle i dati o le stime sul numero di operatori per categoria</t>
  </si>
  <si>
    <t>stima n. ab./punto vend.</t>
  </si>
  <si>
    <t>Acquisti individ. medi (quantità, '000)</t>
  </si>
  <si>
    <t>Se invece già disponi di dati ragionevolmente attendibili, puoi passare direttamente alla parti B e C.</t>
  </si>
  <si>
    <t>Parte A: parametri e stime di riferimento</t>
  </si>
  <si>
    <t>Parte B: stima del mercato effettivo attraverso i canali considerati</t>
  </si>
  <si>
    <t>Inserisci i tuoi obiettivi di "reach" e le ipotesi di struttura commerciale</t>
  </si>
  <si>
    <t>Parte C: stima del mercato pertinente</t>
  </si>
  <si>
    <t>Percentuale di "reach"</t>
  </si>
  <si>
    <t xml:space="preserve">   n. di giornate di capacità produttiva in eccesso</t>
  </si>
  <si>
    <t xml:space="preserve">  … oppure, "gap" di n. di visite non fattibili</t>
  </si>
  <si>
    <t>n. orientativo di operatori</t>
  </si>
  <si>
    <t>stima n. p.v./operatore</t>
  </si>
  <si>
    <t>N. medio di visite/venditore/giorno</t>
  </si>
  <si>
    <t>n. di abitanti/punto vendita</t>
  </si>
  <si>
    <t>(ex novo, o a integraz./rettifica della parte A - se lasci in bianco, verranno successivamente utilizzati i dati finali della parte A, se disponibili)</t>
  </si>
  <si>
    <t>7.</t>
  </si>
  <si>
    <t>8.</t>
  </si>
  <si>
    <t>9.</t>
  </si>
  <si>
    <t>10.</t>
  </si>
  <si>
    <t>Dimensione del mercato pertinente, ipotizzando la fattibilità del n. visite</t>
  </si>
  <si>
    <t>Quant. potenz.('000)= mercato effettivo</t>
  </si>
  <si>
    <t>top-down</t>
  </si>
  <si>
    <t>Se vuoi modificare l'importanza relativa del PIL rispetto agli altri parametri, digita la nuova percentuale di incidenza qui a fianco, altrimenti lascia in bianco</t>
  </si>
  <si>
    <t>migliaia di unità</t>
  </si>
  <si>
    <t>%</t>
  </si>
  <si>
    <t xml:space="preserve">Con riferimento al segmento e al mercato (ed, eventualmente, all'area) di interesse, stima la numerosità dei consumatori o utilizzatori che rientrano "teoricamente" nel target </t>
  </si>
  <si>
    <t>mercato teorico</t>
  </si>
  <si>
    <t>Indica qui sotto il prodotto di interesse, il principale target di consumatori, l'unità di misura delle quantità cui farai riferimento in seguito, nonché l'anno di riferimento</t>
  </si>
  <si>
    <t>Anno</t>
  </si>
  <si>
    <t>ne sentono il bisogno</t>
  </si>
  <si>
    <t>sanno dell'esistenza del prodotto (o prodotti simili)</t>
  </si>
  <si>
    <t>possono permettersi l'acquisto</t>
  </si>
  <si>
    <t>hanno accesso al prodotto (possono reperirlo)</t>
  </si>
  <si>
    <t>sono tecnic./legalmente in grado di utilizzarlo</t>
  </si>
  <si>
    <t>mercato disponibile</t>
  </si>
  <si>
    <t>Stima ora, a cascata (ossia, con riferimento ogni volta alla stima immediatamente precedente, iniziando dalla prima riga), le percentuali di consumatori o utilizzatori che possiedono le caratteristiche di "disponibilità" ad acquistare e utilizzare il prodotto (della tua azienda o di qualsiasi altro fornitore)</t>
  </si>
  <si>
    <t>mercato effettivo</t>
  </si>
  <si>
    <t>quantità totali</t>
  </si>
  <si>
    <t>utilizzatori</t>
  </si>
  <si>
    <t>Ora stima, con riferimento al mercato disponibile, la percentuale di consumatori o utilizzatori che ritieni acquisteranno effettivamente il prodotto nell'anno di riferimento e il consumo medio pro-capite annuo</t>
  </si>
  <si>
    <t>mercato pertinente</t>
  </si>
  <si>
    <t>utilizz.raggiungib.</t>
  </si>
  <si>
    <t>Puoi infine stimare, con riferimento al mercato effettivo, la percentuale di consumatori o utilizzatori con cui ritieni che la tua azienda possa entrare direttamente o indirettamente (attraverso distributori) in contatto, nonché il loro consumo pro-capite</t>
  </si>
  <si>
    <t>consumo pro-capite (unità)</t>
  </si>
  <si>
    <t>scelta del modello</t>
  </si>
  <si>
    <t>riepilogo</t>
  </si>
  <si>
    <t>contesto</t>
  </si>
  <si>
    <t>Questo quadro riepilogativo può essere utile soprattutto se hai utilizzato più di un metodo di stima del potenziale: dovrebbe consentirti di verificare, quanto meno, se gli ordini di grandezza delle diverse stime non sono troppo incongruenti.</t>
  </si>
  <si>
    <t>Paese</t>
  </si>
  <si>
    <t>bench mark</t>
  </si>
  <si>
    <t>effettivo</t>
  </si>
  <si>
    <t>pertinente</t>
  </si>
  <si>
    <t>Stima approx del mercato (quantità), nel segm. e area di interesse, in</t>
  </si>
  <si>
    <t>medie</t>
  </si>
  <si>
    <t>scarto</t>
  </si>
  <si>
    <t>coeff. var.</t>
  </si>
  <si>
    <t>i</t>
  </si>
  <si>
    <t>ii</t>
  </si>
  <si>
    <t>Questo modello, utilizzabile soprattutto nel caso in cui l'azienda preveda di servire direttamente i punti vendita e/o l'ingrosso e/o gli operatori HO.RE.CA., è composto di tre parti: A, B e C.</t>
  </si>
  <si>
    <t>moltipl./</t>
  </si>
  <si>
    <t>demoltip.</t>
  </si>
  <si>
    <t>totale (milioni)</t>
  </si>
  <si>
    <t>Identifica gli altri indicatori macroeconomici o socio-demografici (oltre al PIL) che ritieni più significativi per il settore o segmento di tuo interesse, scegliendone fino a un massimo di 3 fra quelli selezionabili a destra</t>
  </si>
  <si>
    <t>Vuoi inserire un altro indicatore non compreso nella lista di cui sopra? Se sì, digitane il nome qui a fianco, precisane l'unità di misura (opzionale: ad esempio, indice da.. a..) e inserisci i dati relativi per i due Paesi, altrimenti lascia in bianco</t>
  </si>
  <si>
    <t>...se si tratta di indicatori inversamente correlati al potenziale, spunta la casella o le caselle relative a sinistra della lista del punto 2 e/o a sinistra dell'eventuale nuovo indicatore al successivo punto 4</t>
  </si>
  <si>
    <t>Ora stima l'importanza relativa degli indicatori prescelti (a parte il PIL) dal punto di vista del loro potenziale impatto sulla dimensione del mercato di interesse (assicurati di aver spuntato le caselle appropriate in caso di correlazione inversa - v. sopra, punti 2-4)</t>
  </si>
  <si>
    <t>se vuoi avere una stima del mercato effettivo con riferimento ai target da te indicati, devi prima inserire una o più stime mancanti nelle parti A e/o B</t>
  </si>
  <si>
    <t>devi stimare utilizzatori, percentuali e consumi uno dopo l'altro, partendo dall'alto</t>
  </si>
  <si>
    <t>attenzione! ogni stima percentuale non può superare il 100%!</t>
  </si>
  <si>
    <t>prima di inserire stime, torna in "contesto" e scegli il paese !</t>
  </si>
  <si>
    <t>mercato pertinente su effettivo</t>
  </si>
  <si>
    <t>E' articolato nel modo seguente:</t>
  </si>
  <si>
    <t>Si dovrà quindi, prima di tutto, definire il contesto di riferimento.</t>
  </si>
  <si>
    <t>Ogni modello prevede l'inserimento di input soltanto nelle celle contrassegnate da questo colore -----&gt;</t>
  </si>
  <si>
    <t>&lt;-- TORNA a HOME</t>
  </si>
  <si>
    <r>
      <t>mercato</t>
    </r>
    <r>
      <rPr>
        <sz val="8"/>
        <color indexed="37"/>
        <rFont val="Arial"/>
        <family val="2"/>
      </rPr>
      <t xml:space="preserve"> (quantità '000)</t>
    </r>
  </si>
  <si>
    <r>
      <t>Questo strumento software consente di elaborare, in modo relativamente sistematico e in funzione delle caratteristiche del contesto di business in cui opera l'azienda, alcune proiezioni dei potenziali di mercato nel paese di interesse, che si presume sia stato precedentemente identificato, eventualmente grazie all'utilizzo del "</t>
    </r>
    <r>
      <rPr>
        <b/>
        <i/>
        <sz val="10"/>
        <color indexed="37"/>
        <rFont val="Arial"/>
        <family val="2"/>
      </rPr>
      <t>country attractiveness assessment tool</t>
    </r>
    <r>
      <rPr>
        <b/>
        <sz val="8"/>
        <color indexed="37"/>
        <rFont val="Arial"/>
        <family val="2"/>
      </rPr>
      <t>".</t>
    </r>
  </si>
  <si>
    <r>
      <t xml:space="preserve">Successivamente verranno scelti uno o più modelli (fra i 3 proposti), anche in funzione di alcune linee guida fornite sia nel </t>
    </r>
    <r>
      <rPr>
        <b/>
        <i/>
        <sz val="10"/>
        <color indexed="37"/>
        <rFont val="Arial"/>
        <family val="2"/>
      </rPr>
      <t>tutorial</t>
    </r>
    <r>
      <rPr>
        <b/>
        <sz val="8"/>
        <color indexed="37"/>
        <rFont val="Arial"/>
        <family val="2"/>
      </rPr>
      <t xml:space="preserve"> che nella sezione </t>
    </r>
    <r>
      <rPr>
        <b/>
        <sz val="9"/>
        <color indexed="37"/>
        <rFont val="Arial"/>
        <family val="2"/>
      </rPr>
      <t>[scelta del modello]</t>
    </r>
    <r>
      <rPr>
        <b/>
        <sz val="8"/>
        <color indexed="37"/>
        <rFont val="Arial"/>
        <family val="2"/>
      </rPr>
      <t xml:space="preserve"> e all'interno delle sezioni dedicate ai singoli modelli. In tali sezioni è altresì disponibile una serie di help in linea, contrassegnati da "</t>
    </r>
    <r>
      <rPr>
        <b/>
        <sz val="10"/>
        <color indexed="37"/>
        <rFont val="Arial"/>
        <family val="2"/>
      </rPr>
      <t>?</t>
    </r>
    <r>
      <rPr>
        <b/>
        <sz val="8"/>
        <color indexed="37"/>
        <rFont val="Arial"/>
        <family val="2"/>
      </rPr>
      <t>".</t>
    </r>
  </si>
  <si>
    <t>&lt;-- TORNA a CONTESTO</t>
  </si>
  <si>
    <t>&lt;-- TORNA a SCELTA</t>
  </si>
  <si>
    <t>&lt;-- TORNA a BOTTOM-UP</t>
  </si>
  <si>
    <t>Questo modello stima la dimensione del mercato target attraverso un confronto, sulla base di alcuni parametri, fra il profilo del paese e quello dell'Italia, preso come "benchmark"; è più generico di "bottom-up", ed è quindi applicabile a qualsiasi settore (beni durevoli compresi), purché vengano scelti in modo sensato i parametri integrativi del PIL, ma fornisce inevitabilmente risultati più approssimativi e meno analitici. In questa versione, l'importanza attribuita al PIL rispetto a quella complessiva dei parametri caratterizzanti i diversi Paesi è - per default - dell'80%, ma può essere immediatamente modificata (v. qui sotto, punto 1).</t>
  </si>
  <si>
    <t>&lt;-- TORNA a BENCHMARK</t>
  </si>
  <si>
    <t>Questo modello è, al pari di "benchmark", generico e poco analitico, e può quindi essere applicato a qualsiasi settore. È tuttavia estremamente semplificato ed esclusivamente basato su stime, presentando un grado di approssimazione direttamente proporzionale all'accuratezza delle stesse.</t>
  </si>
  <si>
    <t>&lt;-- TORNA a TOP-DOWN</t>
  </si>
  <si>
    <t>&lt;-- TORNA a RIEPILOGO</t>
  </si>
  <si>
    <r>
      <t xml:space="preserve">Data l'estrema complessità e diversità delle possibili situazioni di mercato (tipo di prodotti, tipo di utilizzatori o di acquirenti, tipo di intermediari, ecc.), lo strumento non ha la pretesa di fornire risposte precise (v. anche quanto detto nel </t>
    </r>
    <r>
      <rPr>
        <b/>
        <i/>
        <sz val="10"/>
        <color indexed="37"/>
        <rFont val="Arial"/>
        <family val="2"/>
      </rPr>
      <t xml:space="preserve">tutorial </t>
    </r>
    <r>
      <rPr>
        <b/>
        <sz val="8"/>
        <color indexed="37"/>
        <rFont val="Arial"/>
        <family val="2"/>
      </rPr>
      <t xml:space="preserve">di supporto), ma ha soprattutto l'obiettivo di </t>
    </r>
    <r>
      <rPr>
        <b/>
        <i/>
        <sz val="10"/>
        <color indexed="37"/>
        <rFont val="Arial"/>
        <family val="2"/>
      </rPr>
      <t>far riflettere sui principali fattori che possono condizionare la dimensione della domanda</t>
    </r>
    <r>
      <rPr>
        <b/>
        <sz val="10"/>
        <color indexed="37"/>
        <rFont val="Arial"/>
        <family val="2"/>
      </rPr>
      <t xml:space="preserve"> </t>
    </r>
    <r>
      <rPr>
        <b/>
        <sz val="8"/>
        <color indexed="37"/>
        <rFont val="Arial"/>
        <family val="2"/>
      </rPr>
      <t xml:space="preserve">nei vari paesi, nonché quello di </t>
    </r>
    <r>
      <rPr>
        <b/>
        <i/>
        <sz val="10"/>
        <color indexed="37"/>
        <rFont val="Arial"/>
        <family val="2"/>
      </rPr>
      <t>abituare alla formulazione di stime</t>
    </r>
    <r>
      <rPr>
        <b/>
        <sz val="8"/>
        <color indexed="37"/>
        <rFont val="Arial"/>
        <family val="2"/>
      </rPr>
      <t>, anche in assenza di dati attendibili ed esaustivi sui contesti di riferimento.</t>
    </r>
  </si>
  <si>
    <t>le percentuali, se inserite, devono essere entrambe inferiori a 100%</t>
  </si>
  <si>
    <t>attenzione, indicatori uguali, correggi!</t>
  </si>
  <si>
    <t>inserisci i dati per i due Paesi</t>
  </si>
  <si>
    <t>Algeria</t>
  </si>
  <si>
    <t>Bahrain</t>
  </si>
  <si>
    <t>Belarus</t>
  </si>
  <si>
    <t>Bulgaria</t>
  </si>
  <si>
    <t>Chile</t>
  </si>
  <si>
    <t>Colombia</t>
  </si>
  <si>
    <t>Cyprus</t>
  </si>
  <si>
    <t>Denmark</t>
  </si>
  <si>
    <t>Ecuador</t>
  </si>
  <si>
    <t>Egypt</t>
  </si>
  <si>
    <t>Estonia</t>
  </si>
  <si>
    <t>Guatemala</t>
  </si>
  <si>
    <t>Hong Kong</t>
  </si>
  <si>
    <t>Iran</t>
  </si>
  <si>
    <t>Ireland</t>
  </si>
  <si>
    <t>Israel</t>
  </si>
  <si>
    <t>Jordan</t>
  </si>
  <si>
    <t>Kazakstan</t>
  </si>
  <si>
    <t>Kuwait</t>
  </si>
  <si>
    <t>Latvia</t>
  </si>
  <si>
    <t>Lebanon</t>
  </si>
  <si>
    <t>Libya</t>
  </si>
  <si>
    <t>Lithuania</t>
  </si>
  <si>
    <t>Malaysia</t>
  </si>
  <si>
    <t>Morocco</t>
  </si>
  <si>
    <t>New Zealand</t>
  </si>
  <si>
    <t>Nigeria</t>
  </si>
  <si>
    <t>Oman</t>
  </si>
  <si>
    <t>Pakistan</t>
  </si>
  <si>
    <t>Peru</t>
  </si>
  <si>
    <t>Philippines</t>
  </si>
  <si>
    <t>Portugal</t>
  </si>
  <si>
    <t>Qatar</t>
  </si>
  <si>
    <t>Romania</t>
  </si>
  <si>
    <t>Saudi Arabia</t>
  </si>
  <si>
    <t>Serbia &amp; Montenegro</t>
  </si>
  <si>
    <t>Singapore</t>
  </si>
  <si>
    <t>South Africa</t>
  </si>
  <si>
    <t>Sri Lanka</t>
  </si>
  <si>
    <t>Sudan</t>
  </si>
  <si>
    <t>Syria</t>
  </si>
  <si>
    <t>Taiwan</t>
  </si>
  <si>
    <t>Thailand</t>
  </si>
  <si>
    <t>Tunisia</t>
  </si>
  <si>
    <t>Turkey</t>
  </si>
  <si>
    <t>UAE</t>
  </si>
  <si>
    <t>UK</t>
  </si>
  <si>
    <t>USA</t>
  </si>
  <si>
    <t>Uruguay</t>
  </si>
  <si>
    <t>Venezuela</t>
  </si>
  <si>
    <t>Country</t>
  </si>
  <si>
    <t>population (millions, 2004)</t>
  </si>
  <si>
    <t>GDP/PPP per capita (USD, 2004)</t>
  </si>
  <si>
    <t>total area (000 km2)</t>
  </si>
  <si>
    <t>average popul. growth (%, 2005, est)</t>
  </si>
  <si>
    <t>urban population (%, 2003)</t>
  </si>
  <si>
    <t>median age (2004)</t>
  </si>
  <si>
    <t>infant mortality rate/1.000 live births, 2004</t>
  </si>
  <si>
    <t>household-dwelling units (000, 2003)</t>
  </si>
  <si>
    <t>dwelling units average size (m2, 2003)</t>
  </si>
  <si>
    <t>% catholics</t>
  </si>
  <si>
    <t>% muslims</t>
  </si>
  <si>
    <t>unemployment rate (%, 2003)</t>
  </si>
  <si>
    <t>GDP/average annual growth rate (%, 2004)</t>
  </si>
  <si>
    <t>GDP composition, industry (% on total GDP)</t>
  </si>
  <si>
    <t>GDP composition, services (% on total GDP)</t>
  </si>
  <si>
    <t>annual inflation rate (%, 2003)</t>
  </si>
  <si>
    <t>passenger cars per 1 000 persons</t>
  </si>
  <si>
    <t>fixed telephone connections (000, 2003)</t>
  </si>
  <si>
    <t>mobile telephone connections (000, 2003)</t>
  </si>
  <si>
    <t>n. of PCs/100 persons (2002)</t>
  </si>
  <si>
    <t>n. of internet users (000, 2002)</t>
  </si>
  <si>
    <t>persons per physician (n.)</t>
  </si>
  <si>
    <t>persons per hospital bed (n.)</t>
  </si>
  <si>
    <t>valore minimo</t>
  </si>
  <si>
    <t>valore massimo</t>
  </si>
  <si>
    <t>intervallo</t>
  </si>
  <si>
    <t>media</t>
  </si>
  <si>
    <t>dev. std</t>
  </si>
  <si>
    <t>coefficiente variazione</t>
  </si>
  <si>
    <t>Notes</t>
  </si>
  <si>
    <t>(1) people aged under 15 and over 64 per people aged 15-64</t>
  </si>
  <si>
    <t>PIL/ppp pro-capite</t>
  </si>
  <si>
    <t>GDP (USD billions, 2004)</t>
  </si>
  <si>
    <t>(prende da AB21</t>
  </si>
  <si>
    <t>(1)</t>
  </si>
  <si>
    <t>dependency ratio</t>
  </si>
  <si>
    <t>Sulla base di alcuni dati disponibili per l'Italia (2005), la tua stima del numero di punti vendita nel Paese target (ed, eventualmente, nell'area di interesse) fornisce l'ordine di grandezza del numero di abitanti per punto vendita; viceversa, la stima del numero di abitanti per punto vendita fornisce l'ordine di grandezza della numerosità delle diverse tipologie di punti vendita.</t>
  </si>
  <si>
    <t>il target di clienti da visitare non può essere superiore al numero di operatori!</t>
  </si>
  <si>
    <t>prima di inserire stime, scegli il paese !</t>
  </si>
  <si>
    <t>mancano delle stime per completare le proiezioni!</t>
  </si>
  <si>
    <t>totale (miliardi $)</t>
  </si>
  <si>
    <t>Sviluppato da Nestplan Europe Srl - Empowering Marketing Skills</t>
  </si>
  <si>
    <t>www.nestplan.it</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</si>
</sst>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0.0000E+00"/>
    <numFmt numFmtId="170" formatCode="0.000E+00"/>
    <numFmt numFmtId="171" formatCode="0.0E+00"/>
    <numFmt numFmtId="172" formatCode="0E+00"/>
    <numFmt numFmtId="173" formatCode="0.00000"/>
    <numFmt numFmtId="174" formatCode="0.0000"/>
    <numFmt numFmtId="175" formatCode="0.000"/>
    <numFmt numFmtId="176" formatCode="0.0%"/>
    <numFmt numFmtId="177" formatCode="#,##0.0"/>
    <numFmt numFmtId="178" formatCode="_-* #,##0.0_-;\-* #,##0.0_-;_-* &quot;-&quot;??_-;_-@_-"/>
    <numFmt numFmtId="179" formatCode="_-* #,##0_-;\-* #,##0_-;_-* &quot;-&quot;??_-;_-@_-"/>
    <numFmt numFmtId="180" formatCode="#,##0.00000"/>
    <numFmt numFmtId="181" formatCode="_-* #,##0.000_-;\-* #,##0.000_-;_-* &quot;-&quot;??_-;_-@_-"/>
    <numFmt numFmtId="182" formatCode="0.0000000"/>
    <numFmt numFmtId="183" formatCode="0.000000"/>
    <numFmt numFmtId="184" formatCode="0.00000000"/>
    <numFmt numFmtId="185" formatCode="0.000%"/>
    <numFmt numFmtId="186" formatCode="0.0000%"/>
    <numFmt numFmtId="187" formatCode="0.00000%"/>
    <numFmt numFmtId="188" formatCode="0.000000%"/>
    <numFmt numFmtId="189" formatCode="0.0000000%"/>
    <numFmt numFmtId="190" formatCode="&quot;$&quot;#,##0_);[Red]\(&quot;$&quot;#,##0\)"/>
    <numFmt numFmtId="191" formatCode="&quot;Sì&quot;;&quot;Sì&quot;;&quot;No&quot;"/>
    <numFmt numFmtId="192" formatCode="&quot;Vero&quot;;&quot;Vero&quot;;&quot;Falso&quot;"/>
    <numFmt numFmtId="193" formatCode="&quot;Attivo&quot;;&quot;Attivo&quot;;&quot;Disattivo&quot;"/>
    <numFmt numFmtId="194" formatCode="[$€-2]\ #.##000_);[Red]\([$€-2]\ #.##000\)"/>
    <numFmt numFmtId="195" formatCode="_-* #,##0.0_-;\-* #,##0.0_-;_-* &quot;-&quot;?_-;_-@_-"/>
    <numFmt numFmtId="196" formatCode="#,##0.000"/>
    <numFmt numFmtId="197" formatCode="#,##0.0000"/>
    <numFmt numFmtId="198" formatCode="_-* #,##0_-;\-* #,##0_-;_-* &quot;-&quot;?_-;_-@_-"/>
    <numFmt numFmtId="199" formatCode="#,##0.000000"/>
    <numFmt numFmtId="200" formatCode="#,##0.0000000"/>
    <numFmt numFmtId="201" formatCode="#,##0.00000000"/>
    <numFmt numFmtId="202" formatCode="#,##0.000000000"/>
    <numFmt numFmtId="203" formatCode="#,##0.0000000000"/>
    <numFmt numFmtId="204" formatCode="#,##0.00000000000"/>
    <numFmt numFmtId="205" formatCode="0.000000000"/>
  </numFmts>
  <fonts count="58">
    <font>
      <sz val="9"/>
      <name val="Tahoma"/>
      <family val="0"/>
    </font>
    <font>
      <sz val="8"/>
      <name val="Tahoma"/>
      <family val="0"/>
    </font>
    <font>
      <u val="single"/>
      <sz val="9"/>
      <color indexed="12"/>
      <name val="Tahoma"/>
      <family val="0"/>
    </font>
    <font>
      <u val="single"/>
      <sz val="9"/>
      <color indexed="36"/>
      <name val="Tahoma"/>
      <family val="0"/>
    </font>
    <font>
      <sz val="9"/>
      <name val="Arial"/>
      <family val="2"/>
    </font>
    <font>
      <sz val="1.25"/>
      <name val="Tahoma"/>
      <family val="0"/>
    </font>
    <font>
      <sz val="1"/>
      <name val="Tahoma"/>
      <family val="2"/>
    </font>
    <font>
      <sz val="1.75"/>
      <name val="Tahoma"/>
      <family val="0"/>
    </font>
    <font>
      <sz val="1.5"/>
      <name val="Tahoma"/>
      <family val="0"/>
    </font>
    <font>
      <sz val="9"/>
      <color indexed="9"/>
      <name val="Arial"/>
      <family val="2"/>
    </font>
    <font>
      <sz val="10"/>
      <name val="Arial"/>
      <family val="0"/>
    </font>
    <font>
      <sz val="8"/>
      <name val="Arial"/>
      <family val="0"/>
    </font>
    <font>
      <b/>
      <sz val="1.75"/>
      <name val="Arial"/>
      <family val="0"/>
    </font>
    <font>
      <b/>
      <sz val="1.5"/>
      <name val="Arial"/>
      <family val="0"/>
    </font>
    <font>
      <sz val="1.5"/>
      <name val="Arial"/>
      <family val="0"/>
    </font>
    <font>
      <b/>
      <i/>
      <sz val="10"/>
      <color indexed="12"/>
      <name val="Arial"/>
      <family val="2"/>
    </font>
    <font>
      <b/>
      <sz val="9"/>
      <color indexed="37"/>
      <name val="Tahoma"/>
      <family val="2"/>
    </font>
    <font>
      <b/>
      <i/>
      <sz val="12"/>
      <color indexed="26"/>
      <name val="Arial"/>
      <family val="2"/>
    </font>
    <font>
      <b/>
      <sz val="10"/>
      <color indexed="37"/>
      <name val="Arial"/>
      <family val="2"/>
    </font>
    <font>
      <b/>
      <sz val="8"/>
      <color indexed="37"/>
      <name val="Arial"/>
      <family val="2"/>
    </font>
    <font>
      <b/>
      <i/>
      <sz val="8"/>
      <color indexed="10"/>
      <name val="Arial"/>
      <family val="2"/>
    </font>
    <font>
      <b/>
      <i/>
      <sz val="8"/>
      <color indexed="37"/>
      <name val="Arial"/>
      <family val="2"/>
    </font>
    <font>
      <b/>
      <u val="single"/>
      <sz val="9"/>
      <color indexed="37"/>
      <name val="Arial"/>
      <family val="2"/>
    </font>
    <font>
      <b/>
      <i/>
      <sz val="9"/>
      <color indexed="12"/>
      <name val="Arial"/>
      <family val="2"/>
    </font>
    <font>
      <b/>
      <sz val="8"/>
      <color indexed="26"/>
      <name val="Arial"/>
      <family val="2"/>
    </font>
    <font>
      <b/>
      <i/>
      <sz val="8"/>
      <color indexed="26"/>
      <name val="Arial"/>
      <family val="2"/>
    </font>
    <font>
      <b/>
      <sz val="8"/>
      <name val="Arial"/>
      <family val="2"/>
    </font>
    <font>
      <sz val="9"/>
      <color indexed="37"/>
      <name val="Arial"/>
      <family val="2"/>
    </font>
    <font>
      <b/>
      <i/>
      <sz val="8"/>
      <name val="Arial"/>
      <family val="2"/>
    </font>
    <font>
      <i/>
      <sz val="8"/>
      <name val="Arial"/>
      <family val="2"/>
    </font>
    <font>
      <sz val="8"/>
      <color indexed="37"/>
      <name val="Arial"/>
      <family val="2"/>
    </font>
    <font>
      <i/>
      <sz val="8"/>
      <color indexed="37"/>
      <name val="Arial"/>
      <family val="2"/>
    </font>
    <font>
      <i/>
      <sz val="9"/>
      <color indexed="37"/>
      <name val="Arial"/>
      <family val="2"/>
    </font>
    <font>
      <b/>
      <sz val="9"/>
      <name val="Arial"/>
      <family val="2"/>
    </font>
    <font>
      <sz val="8"/>
      <color indexed="26"/>
      <name val="Arial"/>
      <family val="2"/>
    </font>
    <font>
      <b/>
      <sz val="9"/>
      <color indexed="26"/>
      <name val="Arial"/>
      <family val="2"/>
    </font>
    <font>
      <sz val="9"/>
      <color indexed="26"/>
      <name val="Arial"/>
      <family val="2"/>
    </font>
    <font>
      <b/>
      <sz val="8"/>
      <color indexed="16"/>
      <name val="Arial"/>
      <family val="2"/>
    </font>
    <font>
      <b/>
      <i/>
      <sz val="12"/>
      <color indexed="37"/>
      <name val="Arial"/>
      <family val="2"/>
    </font>
    <font>
      <b/>
      <sz val="9"/>
      <color indexed="37"/>
      <name val="Arial"/>
      <family val="2"/>
    </font>
    <font>
      <b/>
      <i/>
      <sz val="9"/>
      <color indexed="37"/>
      <name val="Arial"/>
      <family val="2"/>
    </font>
    <font>
      <i/>
      <sz val="12"/>
      <name val="Arial"/>
      <family val="2"/>
    </font>
    <font>
      <b/>
      <sz val="8"/>
      <color indexed="10"/>
      <name val="Arial"/>
      <family val="2"/>
    </font>
    <font>
      <sz val="8"/>
      <color indexed="9"/>
      <name val="Arial"/>
      <family val="2"/>
    </font>
    <font>
      <sz val="10"/>
      <color indexed="26"/>
      <name val="Arial"/>
      <family val="2"/>
    </font>
    <font>
      <b/>
      <sz val="9"/>
      <color indexed="16"/>
      <name val="Arial"/>
      <family val="2"/>
    </font>
    <font>
      <b/>
      <i/>
      <sz val="12"/>
      <color indexed="16"/>
      <name val="Arial"/>
      <family val="2"/>
    </font>
    <font>
      <sz val="8"/>
      <color indexed="16"/>
      <name val="Arial"/>
      <family val="2"/>
    </font>
    <font>
      <i/>
      <sz val="10"/>
      <color indexed="16"/>
      <name val="Arial"/>
      <family val="2"/>
    </font>
    <font>
      <b/>
      <i/>
      <sz val="9"/>
      <name val="Arial"/>
      <family val="2"/>
    </font>
    <font>
      <i/>
      <sz val="9"/>
      <name val="Arial"/>
      <family val="2"/>
    </font>
    <font>
      <b/>
      <sz val="12"/>
      <color indexed="26"/>
      <name val="Arial"/>
      <family val="2"/>
    </font>
    <font>
      <b/>
      <i/>
      <sz val="10"/>
      <color indexed="37"/>
      <name val="Arial"/>
      <family val="2"/>
    </font>
    <font>
      <b/>
      <u val="single"/>
      <sz val="9"/>
      <color indexed="37"/>
      <name val="Courier"/>
      <family val="3"/>
    </font>
    <font>
      <b/>
      <sz val="11"/>
      <color indexed="16"/>
      <name val="Arial"/>
      <family val="2"/>
    </font>
    <font>
      <u val="single"/>
      <sz val="9"/>
      <color indexed="12"/>
      <name val="Arial"/>
      <family val="2"/>
    </font>
    <font>
      <b/>
      <i/>
      <sz val="9"/>
      <color indexed="12"/>
      <name val="Tahoma"/>
      <family val="2"/>
    </font>
    <font>
      <i/>
      <u val="single"/>
      <sz val="8"/>
      <color indexed="12"/>
      <name val="Arial"/>
      <family val="2"/>
    </font>
  </fonts>
  <fills count="12">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5"/>
        <bgColor indexed="64"/>
      </patternFill>
    </fill>
    <fill>
      <patternFill patternType="solid">
        <fgColor indexed="51"/>
        <bgColor indexed="64"/>
      </patternFill>
    </fill>
    <fill>
      <patternFill patternType="solid">
        <fgColor indexed="37"/>
        <bgColor indexed="64"/>
      </patternFill>
    </fill>
    <fill>
      <patternFill patternType="solid">
        <fgColor indexed="26"/>
        <bgColor indexed="64"/>
      </patternFill>
    </fill>
    <fill>
      <patternFill patternType="lightUp">
        <fgColor indexed="37"/>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s>
  <borders count="16">
    <border>
      <left/>
      <right/>
      <top/>
      <bottom/>
      <diagonal/>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2">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horizontal="center" vertical="center"/>
    </xf>
    <xf numFmtId="0" fontId="4" fillId="2" borderId="0" xfId="0" applyFont="1" applyFill="1" applyAlignment="1">
      <alignment/>
    </xf>
    <xf numFmtId="0" fontId="4" fillId="0" borderId="0" xfId="0" applyFont="1" applyBorder="1" applyAlignment="1">
      <alignment/>
    </xf>
    <xf numFmtId="0" fontId="9" fillId="0" borderId="0" xfId="0" applyFont="1" applyAlignment="1">
      <alignment/>
    </xf>
    <xf numFmtId="0" fontId="15" fillId="0" borderId="0" xfId="0" applyFont="1" applyAlignment="1">
      <alignment/>
    </xf>
    <xf numFmtId="0" fontId="4" fillId="0" borderId="0" xfId="0" applyFont="1" applyAlignment="1" quotePrefix="1">
      <alignment horizontal="left"/>
    </xf>
    <xf numFmtId="0" fontId="9" fillId="3" borderId="0" xfId="0" applyFont="1" applyFill="1" applyAlignment="1" quotePrefix="1">
      <alignment horizontal="left"/>
    </xf>
    <xf numFmtId="0" fontId="9" fillId="3" borderId="0" xfId="0" applyFont="1" applyFill="1" applyAlignment="1">
      <alignment/>
    </xf>
    <xf numFmtId="0" fontId="4" fillId="0" borderId="1" xfId="0" applyFont="1" applyBorder="1" applyAlignment="1">
      <alignment/>
    </xf>
    <xf numFmtId="0" fontId="11" fillId="0" borderId="0" xfId="0" applyFont="1" applyAlignment="1">
      <alignment/>
    </xf>
    <xf numFmtId="0" fontId="11" fillId="0" borderId="0" xfId="0" applyFont="1" applyFill="1" applyAlignment="1">
      <alignment/>
    </xf>
    <xf numFmtId="0" fontId="11" fillId="2" borderId="0" xfId="0" applyFont="1" applyFill="1" applyAlignment="1" quotePrefix="1">
      <alignment horizontal="left" vertical="center"/>
    </xf>
    <xf numFmtId="0" fontId="11" fillId="2" borderId="0" xfId="0" applyFont="1" applyFill="1" applyAlignment="1">
      <alignment/>
    </xf>
    <xf numFmtId="177" fontId="11" fillId="2" borderId="0" xfId="0" applyNumberFormat="1" applyFont="1" applyFill="1" applyAlignment="1" quotePrefix="1">
      <alignment horizontal="left" vertical="center"/>
    </xf>
    <xf numFmtId="0" fontId="11" fillId="3" borderId="0" xfId="0" applyFont="1" applyFill="1" applyAlignment="1">
      <alignment horizontal="left" vertical="center"/>
    </xf>
    <xf numFmtId="177" fontId="11" fillId="0" borderId="0" xfId="0" applyNumberFormat="1" applyFont="1" applyAlignment="1" quotePrefix="1">
      <alignment horizontal="left" vertical="center"/>
    </xf>
    <xf numFmtId="0" fontId="18" fillId="0" borderId="0" xfId="0" applyFont="1" applyAlignment="1">
      <alignment vertical="center"/>
    </xf>
    <xf numFmtId="177" fontId="19" fillId="4" borderId="2" xfId="0" applyNumberFormat="1" applyFont="1" applyFill="1" applyBorder="1" applyAlignment="1">
      <alignment horizontal="right"/>
    </xf>
    <xf numFmtId="0" fontId="11" fillId="5" borderId="0" xfId="0" applyFont="1" applyFill="1" applyAlignment="1" quotePrefix="1">
      <alignment horizontal="left" vertical="center"/>
    </xf>
    <xf numFmtId="9" fontId="19" fillId="0" borderId="2" xfId="21" applyNumberFormat="1" applyFont="1" applyBorder="1" applyAlignment="1">
      <alignment horizontal="center" vertical="center"/>
    </xf>
    <xf numFmtId="1" fontId="19" fillId="4" borderId="2" xfId="0" applyNumberFormat="1" applyFont="1" applyFill="1" applyBorder="1" applyAlignment="1">
      <alignment/>
    </xf>
    <xf numFmtId="9" fontId="19" fillId="0" borderId="2" xfId="21" applyNumberFormat="1" applyFont="1" applyBorder="1" applyAlignment="1" quotePrefix="1">
      <alignment horizontal="center" vertical="center"/>
    </xf>
    <xf numFmtId="177" fontId="19" fillId="4" borderId="2" xfId="0" applyNumberFormat="1" applyFont="1" applyFill="1" applyBorder="1" applyAlignment="1">
      <alignment/>
    </xf>
    <xf numFmtId="0" fontId="20" fillId="2" borderId="0" xfId="0" applyFont="1" applyFill="1" applyAlignment="1" quotePrefix="1">
      <alignment horizontal="left" vertical="center"/>
    </xf>
    <xf numFmtId="0" fontId="18" fillId="0" borderId="0" xfId="0" applyFont="1" applyAlignment="1">
      <alignment horizontal="left" vertical="center"/>
    </xf>
    <xf numFmtId="0" fontId="20" fillId="0" borderId="0" xfId="0" applyFont="1" applyAlignment="1" quotePrefix="1">
      <alignment horizontal="left"/>
    </xf>
    <xf numFmtId="0" fontId="19" fillId="0" borderId="0" xfId="0" applyFont="1" applyAlignment="1">
      <alignment horizontal="center" vertical="center"/>
    </xf>
    <xf numFmtId="0" fontId="21" fillId="0" borderId="0" xfId="0" applyFont="1" applyAlignment="1" quotePrefix="1">
      <alignment horizontal="left" vertical="center"/>
    </xf>
    <xf numFmtId="0" fontId="11" fillId="0" borderId="0" xfId="0" applyFont="1" applyAlignment="1" applyProtection="1">
      <alignment vertical="center"/>
      <protection locked="0"/>
    </xf>
    <xf numFmtId="0" fontId="11" fillId="2" borderId="0" xfId="0" applyFont="1" applyFill="1" applyAlignment="1">
      <alignment horizontal="center" vertical="center"/>
    </xf>
    <xf numFmtId="0" fontId="11" fillId="0" borderId="0" xfId="0" applyFont="1" applyAlignment="1" quotePrefix="1">
      <alignment horizontal="left"/>
    </xf>
    <xf numFmtId="0" fontId="19" fillId="0" borderId="0" xfId="0" applyFont="1" applyAlignment="1" quotePrefix="1">
      <alignment horizontal="left"/>
    </xf>
    <xf numFmtId="0" fontId="22" fillId="0" borderId="0" xfId="0" applyFont="1" applyAlignment="1" quotePrefix="1">
      <alignment horizontal="left"/>
    </xf>
    <xf numFmtId="0" fontId="21" fillId="0" borderId="0" xfId="0" applyFont="1" applyAlignment="1">
      <alignment horizontal="left" vertical="center"/>
    </xf>
    <xf numFmtId="0" fontId="4" fillId="0" borderId="0" xfId="0" applyFont="1" applyAlignment="1">
      <alignment vertical="center" wrapText="1"/>
    </xf>
    <xf numFmtId="0" fontId="24" fillId="6" borderId="0" xfId="0" applyFont="1" applyFill="1" applyAlignment="1">
      <alignment horizontal="center"/>
    </xf>
    <xf numFmtId="0" fontId="24" fillId="6" borderId="0" xfId="0" applyFont="1" applyFill="1" applyAlignment="1" quotePrefix="1">
      <alignment horizontal="center"/>
    </xf>
    <xf numFmtId="0" fontId="25" fillId="6" borderId="0" xfId="0" applyFont="1" applyFill="1" applyAlignment="1">
      <alignment horizontal="center"/>
    </xf>
    <xf numFmtId="0" fontId="4" fillId="0" borderId="3" xfId="0" applyFont="1" applyBorder="1" applyAlignment="1">
      <alignment/>
    </xf>
    <xf numFmtId="0" fontId="11" fillId="0" borderId="4" xfId="0" applyFont="1" applyBorder="1" applyAlignment="1" quotePrefix="1">
      <alignment horizontal="left"/>
    </xf>
    <xf numFmtId="0" fontId="4" fillId="0" borderId="4" xfId="0" applyFont="1" applyBorder="1" applyAlignment="1">
      <alignment/>
    </xf>
    <xf numFmtId="0" fontId="4" fillId="0" borderId="5" xfId="0" applyFont="1" applyBorder="1" applyAlignment="1">
      <alignment/>
    </xf>
    <xf numFmtId="3" fontId="19" fillId="4" borderId="6" xfId="0" applyNumberFormat="1" applyFont="1" applyFill="1" applyBorder="1" applyAlignment="1">
      <alignment/>
    </xf>
    <xf numFmtId="3" fontId="19" fillId="4" borderId="7" xfId="0" applyNumberFormat="1" applyFont="1" applyFill="1" applyBorder="1" applyAlignment="1">
      <alignment/>
    </xf>
    <xf numFmtId="3" fontId="19" fillId="4" borderId="8" xfId="0" applyNumberFormat="1" applyFont="1" applyFill="1" applyBorder="1" applyAlignment="1">
      <alignment/>
    </xf>
    <xf numFmtId="0" fontId="4" fillId="0" borderId="9" xfId="0" applyFont="1" applyBorder="1" applyAlignment="1">
      <alignment/>
    </xf>
    <xf numFmtId="3" fontId="26" fillId="2" borderId="10" xfId="0" applyNumberFormat="1" applyFont="1" applyFill="1" applyBorder="1" applyAlignment="1">
      <alignment/>
    </xf>
    <xf numFmtId="0" fontId="11" fillId="0" borderId="3" xfId="0" applyFont="1" applyBorder="1" applyAlignment="1" quotePrefix="1">
      <alignment horizontal="left"/>
    </xf>
    <xf numFmtId="0" fontId="4" fillId="0" borderId="11" xfId="0" applyFont="1" applyBorder="1" applyAlignment="1">
      <alignment/>
    </xf>
    <xf numFmtId="3" fontId="21" fillId="0" borderId="3" xfId="0" applyNumberFormat="1" applyFont="1" applyFill="1" applyBorder="1" applyAlignment="1">
      <alignment horizontal="right"/>
    </xf>
    <xf numFmtId="0" fontId="4" fillId="0" borderId="12" xfId="0" applyFont="1" applyBorder="1" applyAlignment="1">
      <alignment/>
    </xf>
    <xf numFmtId="1" fontId="28" fillId="0" borderId="13" xfId="0" applyNumberFormat="1" applyFont="1" applyFill="1" applyBorder="1" applyAlignment="1">
      <alignment/>
    </xf>
    <xf numFmtId="0" fontId="19" fillId="0" borderId="0" xfId="0" applyFont="1" applyAlignment="1" quotePrefix="1">
      <alignment horizontal="left" vertical="center"/>
    </xf>
    <xf numFmtId="0" fontId="4" fillId="0" borderId="10" xfId="0" applyFont="1" applyBorder="1" applyAlignment="1">
      <alignment/>
    </xf>
    <xf numFmtId="0" fontId="19" fillId="0" borderId="0" xfId="0" applyFont="1" applyBorder="1" applyAlignment="1" quotePrefix="1">
      <alignment horizontal="left"/>
    </xf>
    <xf numFmtId="3" fontId="11" fillId="7" borderId="6" xfId="0" applyNumberFormat="1" applyFont="1" applyFill="1" applyBorder="1" applyAlignment="1" applyProtection="1">
      <alignment/>
      <protection locked="0"/>
    </xf>
    <xf numFmtId="3" fontId="11" fillId="7" borderId="7" xfId="0" applyNumberFormat="1" applyFont="1" applyFill="1" applyBorder="1" applyAlignment="1" applyProtection="1">
      <alignment/>
      <protection locked="0"/>
    </xf>
    <xf numFmtId="3" fontId="11" fillId="7" borderId="8" xfId="0" applyNumberFormat="1" applyFont="1" applyFill="1" applyBorder="1" applyAlignment="1" applyProtection="1">
      <alignment/>
      <protection locked="0"/>
    </xf>
    <xf numFmtId="0" fontId="4" fillId="0" borderId="14" xfId="0" applyFont="1" applyBorder="1" applyAlignment="1">
      <alignment/>
    </xf>
    <xf numFmtId="3" fontId="19" fillId="2" borderId="15" xfId="0" applyNumberFormat="1" applyFont="1" applyFill="1" applyBorder="1" applyAlignment="1">
      <alignment horizontal="right"/>
    </xf>
    <xf numFmtId="0" fontId="4" fillId="0" borderId="15" xfId="0" applyFont="1" applyBorder="1" applyAlignment="1">
      <alignment/>
    </xf>
    <xf numFmtId="3" fontId="11" fillId="0" borderId="3" xfId="0" applyNumberFormat="1" applyFont="1" applyBorder="1" applyAlignment="1">
      <alignment horizontal="right"/>
    </xf>
    <xf numFmtId="3" fontId="29" fillId="0" borderId="13" xfId="0" applyNumberFormat="1" applyFont="1" applyFill="1" applyBorder="1" applyAlignment="1">
      <alignment horizontal="right"/>
    </xf>
    <xf numFmtId="0" fontId="21" fillId="0" borderId="0" xfId="0" applyFont="1" applyBorder="1" applyAlignment="1" quotePrefix="1">
      <alignment horizontal="left"/>
    </xf>
    <xf numFmtId="3" fontId="29" fillId="7" borderId="6" xfId="0" applyNumberFormat="1" applyFont="1" applyFill="1" applyBorder="1" applyAlignment="1" applyProtection="1">
      <alignment/>
      <protection locked="0"/>
    </xf>
    <xf numFmtId="3" fontId="29" fillId="7" borderId="7" xfId="0" applyNumberFormat="1" applyFont="1" applyFill="1" applyBorder="1" applyAlignment="1" applyProtection="1">
      <alignment/>
      <protection locked="0"/>
    </xf>
    <xf numFmtId="3" fontId="29" fillId="7" borderId="8" xfId="0" applyNumberFormat="1" applyFont="1" applyFill="1" applyBorder="1" applyAlignment="1" applyProtection="1">
      <alignment/>
      <protection locked="0"/>
    </xf>
    <xf numFmtId="3" fontId="21" fillId="0" borderId="15" xfId="0" applyNumberFormat="1" applyFont="1" applyFill="1" applyBorder="1" applyAlignment="1">
      <alignment horizontal="right"/>
    </xf>
    <xf numFmtId="0" fontId="11" fillId="0" borderId="11" xfId="0" applyFont="1" applyBorder="1" applyAlignment="1">
      <alignment/>
    </xf>
    <xf numFmtId="3" fontId="11" fillId="0" borderId="13" xfId="0" applyNumberFormat="1" applyFont="1" applyFill="1" applyBorder="1" applyAlignment="1">
      <alignment horizontal="right"/>
    </xf>
    <xf numFmtId="0" fontId="11" fillId="0" borderId="2" xfId="0" applyFont="1" applyBorder="1" applyAlignment="1">
      <alignment/>
    </xf>
    <xf numFmtId="0" fontId="11" fillId="0" borderId="1" xfId="0" applyFont="1" applyBorder="1" applyAlignment="1">
      <alignment/>
    </xf>
    <xf numFmtId="9" fontId="11" fillId="0" borderId="0" xfId="21" applyFont="1" applyBorder="1" applyAlignment="1">
      <alignment horizontal="right"/>
    </xf>
    <xf numFmtId="9" fontId="11" fillId="0" borderId="14" xfId="21" applyFont="1" applyBorder="1" applyAlignment="1">
      <alignment horizontal="right"/>
    </xf>
    <xf numFmtId="9" fontId="11" fillId="0" borderId="15" xfId="21" applyFont="1" applyBorder="1" applyAlignment="1">
      <alignment horizontal="right"/>
    </xf>
    <xf numFmtId="9" fontId="29" fillId="0" borderId="3" xfId="21" applyFont="1" applyBorder="1" applyAlignment="1">
      <alignment horizontal="right"/>
    </xf>
    <xf numFmtId="9" fontId="29" fillId="0" borderId="12" xfId="21" applyFont="1" applyBorder="1" applyAlignment="1">
      <alignment horizontal="right"/>
    </xf>
    <xf numFmtId="9" fontId="29" fillId="0" borderId="13" xfId="21" applyFont="1" applyBorder="1" applyAlignment="1">
      <alignment horizontal="right"/>
    </xf>
    <xf numFmtId="177" fontId="29" fillId="7" borderId="6" xfId="0" applyNumberFormat="1" applyFont="1" applyFill="1" applyBorder="1" applyAlignment="1" applyProtection="1">
      <alignment/>
      <protection locked="0"/>
    </xf>
    <xf numFmtId="177" fontId="29" fillId="7" borderId="7" xfId="0" applyNumberFormat="1" applyFont="1" applyFill="1" applyBorder="1" applyAlignment="1" applyProtection="1">
      <alignment/>
      <protection locked="0"/>
    </xf>
    <xf numFmtId="177" fontId="29" fillId="7" borderId="8" xfId="0" applyNumberFormat="1" applyFont="1" applyFill="1" applyBorder="1" applyAlignment="1" applyProtection="1">
      <alignment/>
      <protection locked="0"/>
    </xf>
    <xf numFmtId="177" fontId="21" fillId="2" borderId="10" xfId="0" applyNumberFormat="1" applyFont="1" applyFill="1" applyBorder="1" applyAlignment="1">
      <alignment horizontal="right"/>
    </xf>
    <xf numFmtId="0" fontId="4" fillId="2" borderId="13" xfId="0" applyFont="1" applyFill="1" applyBorder="1" applyAlignment="1">
      <alignment/>
    </xf>
    <xf numFmtId="3" fontId="11" fillId="2" borderId="7" xfId="0" applyNumberFormat="1" applyFont="1" applyFill="1" applyBorder="1" applyAlignment="1" quotePrefix="1">
      <alignment horizontal="right"/>
    </xf>
    <xf numFmtId="3" fontId="26" fillId="2" borderId="13" xfId="0" applyNumberFormat="1" applyFont="1" applyFill="1" applyBorder="1" applyAlignment="1" quotePrefix="1">
      <alignment horizontal="right"/>
    </xf>
    <xf numFmtId="0" fontId="25" fillId="6" borderId="0" xfId="0" applyFont="1" applyFill="1" applyAlignment="1" quotePrefix="1">
      <alignment horizontal="center"/>
    </xf>
    <xf numFmtId="0" fontId="11" fillId="7" borderId="6" xfId="0" applyFont="1" applyFill="1" applyBorder="1" applyAlignment="1" applyProtection="1">
      <alignment/>
      <protection locked="0"/>
    </xf>
    <xf numFmtId="0" fontId="11" fillId="7" borderId="7" xfId="0" applyFont="1" applyFill="1" applyBorder="1" applyAlignment="1" applyProtection="1">
      <alignment/>
      <protection locked="0"/>
    </xf>
    <xf numFmtId="0" fontId="11" fillId="7" borderId="8" xfId="0" applyFont="1" applyFill="1" applyBorder="1" applyAlignment="1" applyProtection="1">
      <alignment/>
      <protection locked="0"/>
    </xf>
    <xf numFmtId="3" fontId="19" fillId="0" borderId="8" xfId="0" applyNumberFormat="1" applyFont="1" applyFill="1" applyBorder="1" applyAlignment="1">
      <alignment horizontal="right"/>
    </xf>
    <xf numFmtId="0" fontId="22" fillId="0" borderId="0" xfId="15" applyFont="1" applyAlignment="1">
      <alignment horizontal="center"/>
    </xf>
    <xf numFmtId="0" fontId="11" fillId="0" borderId="4" xfId="0" applyFont="1" applyBorder="1" applyAlignment="1">
      <alignment horizontal="left"/>
    </xf>
    <xf numFmtId="3" fontId="11" fillId="2" borderId="4" xfId="0" applyNumberFormat="1" applyFont="1" applyFill="1" applyBorder="1" applyAlignment="1">
      <alignment horizontal="right"/>
    </xf>
    <xf numFmtId="3" fontId="26" fillId="0" borderId="4" xfId="0" applyNumberFormat="1" applyFont="1" applyFill="1" applyBorder="1" applyAlignment="1">
      <alignment horizontal="right"/>
    </xf>
    <xf numFmtId="0" fontId="11" fillId="2" borderId="0" xfId="0" applyFont="1" applyFill="1" applyBorder="1" applyAlignment="1" applyProtection="1">
      <alignment horizontal="right" vertical="center"/>
      <protection locked="0"/>
    </xf>
    <xf numFmtId="0" fontId="11" fillId="0" borderId="0" xfId="0" applyFont="1" applyAlignment="1" applyProtection="1">
      <alignment/>
      <protection locked="0"/>
    </xf>
    <xf numFmtId="0" fontId="21" fillId="0" borderId="0" xfId="0" applyFont="1" applyAlignment="1" quotePrefix="1">
      <alignment horizontal="left"/>
    </xf>
    <xf numFmtId="168" fontId="29" fillId="7" borderId="5" xfId="0" applyNumberFormat="1" applyFont="1" applyFill="1" applyBorder="1" applyAlignment="1" applyProtection="1">
      <alignment/>
      <protection locked="0"/>
    </xf>
    <xf numFmtId="168" fontId="29" fillId="7" borderId="4" xfId="0" applyNumberFormat="1" applyFont="1" applyFill="1" applyBorder="1" applyAlignment="1" applyProtection="1">
      <alignment/>
      <protection locked="0"/>
    </xf>
    <xf numFmtId="168" fontId="29" fillId="7" borderId="9" xfId="0" applyNumberFormat="1" applyFont="1" applyFill="1" applyBorder="1" applyAlignment="1" applyProtection="1">
      <alignment/>
      <protection locked="0"/>
    </xf>
    <xf numFmtId="168" fontId="21" fillId="0" borderId="0" xfId="0" applyNumberFormat="1" applyFont="1" applyFill="1" applyAlignment="1">
      <alignment horizontal="right"/>
    </xf>
    <xf numFmtId="0" fontId="11" fillId="2" borderId="0" xfId="0" applyFont="1" applyFill="1" applyBorder="1" applyAlignment="1" applyProtection="1">
      <alignment horizontal="left" vertical="center"/>
      <protection locked="0"/>
    </xf>
    <xf numFmtId="0" fontId="33" fillId="0" borderId="0" xfId="0" applyFont="1" applyAlignment="1">
      <alignment horizontal="center"/>
    </xf>
    <xf numFmtId="0" fontId="24" fillId="6" borderId="0" xfId="0" applyFont="1" applyFill="1" applyAlignment="1" quotePrefix="1">
      <alignment horizontal="left"/>
    </xf>
    <xf numFmtId="0" fontId="34" fillId="6" borderId="0" xfId="0" applyFont="1" applyFill="1" applyAlignment="1">
      <alignment horizontal="left"/>
    </xf>
    <xf numFmtId="3" fontId="30" fillId="4" borderId="6" xfId="0" applyNumberFormat="1" applyFont="1" applyFill="1" applyBorder="1" applyAlignment="1">
      <alignment horizontal="right"/>
    </xf>
    <xf numFmtId="3" fontId="30" fillId="4" borderId="7" xfId="0" applyNumberFormat="1" applyFont="1" applyFill="1" applyBorder="1" applyAlignment="1">
      <alignment horizontal="right"/>
    </xf>
    <xf numFmtId="3" fontId="30" fillId="4" borderId="8" xfId="0" applyNumberFormat="1" applyFont="1" applyFill="1" applyBorder="1" applyAlignment="1">
      <alignment horizontal="right"/>
    </xf>
    <xf numFmtId="3" fontId="19" fillId="4" borderId="8" xfId="0" applyNumberFormat="1" applyFont="1" applyFill="1" applyBorder="1" applyAlignment="1">
      <alignment horizontal="right"/>
    </xf>
    <xf numFmtId="3" fontId="4" fillId="0" borderId="0" xfId="0" applyNumberFormat="1" applyFont="1" applyAlignment="1">
      <alignment/>
    </xf>
    <xf numFmtId="9" fontId="11" fillId="0" borderId="3" xfId="21" applyNumberFormat="1" applyFont="1" applyBorder="1" applyAlignment="1">
      <alignment horizontal="right"/>
    </xf>
    <xf numFmtId="9" fontId="11" fillId="0" borderId="3" xfId="21" applyNumberFormat="1" applyFont="1" applyFill="1" applyBorder="1" applyAlignment="1">
      <alignment horizontal="right"/>
    </xf>
    <xf numFmtId="0" fontId="4" fillId="3" borderId="0" xfId="0" applyFont="1" applyFill="1" applyAlignment="1" quotePrefix="1">
      <alignment horizontal="center"/>
    </xf>
    <xf numFmtId="0" fontId="11" fillId="0" borderId="0" xfId="0" applyFont="1" applyBorder="1" applyAlignment="1">
      <alignment/>
    </xf>
    <xf numFmtId="0" fontId="11" fillId="0" borderId="0" xfId="0" applyFont="1" applyAlignment="1">
      <alignment horizontal="left"/>
    </xf>
    <xf numFmtId="3" fontId="11" fillId="7" borderId="11" xfId="0" applyNumberFormat="1" applyFont="1" applyFill="1" applyBorder="1" applyAlignment="1" applyProtection="1">
      <alignment/>
      <protection locked="0"/>
    </xf>
    <xf numFmtId="3" fontId="11" fillId="7" borderId="3" xfId="0" applyNumberFormat="1" applyFont="1" applyFill="1" applyBorder="1" applyAlignment="1" applyProtection="1">
      <alignment/>
      <protection locked="0"/>
    </xf>
    <xf numFmtId="3" fontId="11" fillId="7" borderId="12" xfId="0" applyNumberFormat="1" applyFont="1" applyFill="1" applyBorder="1" applyAlignment="1" applyProtection="1">
      <alignment/>
      <protection locked="0"/>
    </xf>
    <xf numFmtId="3" fontId="19" fillId="0" borderId="0" xfId="0" applyNumberFormat="1" applyFont="1" applyFill="1" applyAlignment="1">
      <alignment horizontal="right"/>
    </xf>
    <xf numFmtId="0" fontId="11" fillId="0" borderId="0" xfId="0" applyFont="1" applyBorder="1" applyAlignment="1" quotePrefix="1">
      <alignment horizontal="left"/>
    </xf>
    <xf numFmtId="0" fontId="11" fillId="2" borderId="0" xfId="0" applyFont="1" applyFill="1" applyBorder="1" applyAlignment="1">
      <alignment horizontal="left"/>
    </xf>
    <xf numFmtId="0" fontId="11" fillId="2" borderId="0" xfId="0" applyFont="1" applyFill="1" applyAlignment="1">
      <alignment horizontal="left"/>
    </xf>
    <xf numFmtId="9" fontId="11" fillId="2" borderId="0" xfId="21" applyFont="1" applyFill="1" applyBorder="1" applyAlignment="1">
      <alignment horizontal="right"/>
    </xf>
    <xf numFmtId="168" fontId="21" fillId="0" borderId="0" xfId="0" applyNumberFormat="1" applyFont="1" applyFill="1" applyBorder="1" applyAlignment="1">
      <alignment horizontal="right"/>
    </xf>
    <xf numFmtId="0" fontId="11" fillId="0" borderId="3" xfId="0" applyFont="1" applyBorder="1" applyAlignment="1">
      <alignment horizontal="left"/>
    </xf>
    <xf numFmtId="0" fontId="11" fillId="0" borderId="3" xfId="0" applyFont="1" applyBorder="1" applyAlignment="1">
      <alignment horizontal="right"/>
    </xf>
    <xf numFmtId="3" fontId="26" fillId="0" borderId="3" xfId="0" applyNumberFormat="1" applyFont="1" applyFill="1" applyBorder="1" applyAlignment="1">
      <alignment horizontal="right"/>
    </xf>
    <xf numFmtId="0" fontId="11" fillId="0" borderId="7" xfId="0" applyFont="1" applyBorder="1" applyAlignment="1">
      <alignment/>
    </xf>
    <xf numFmtId="177" fontId="29" fillId="7" borderId="11" xfId="0" applyNumberFormat="1" applyFont="1" applyFill="1" applyBorder="1" applyAlignment="1" applyProtection="1">
      <alignment/>
      <protection locked="0"/>
    </xf>
    <xf numFmtId="177" fontId="29" fillId="7" borderId="3" xfId="0" applyNumberFormat="1" applyFont="1" applyFill="1" applyBorder="1" applyAlignment="1" applyProtection="1" quotePrefix="1">
      <alignment/>
      <protection locked="0"/>
    </xf>
    <xf numFmtId="177" fontId="29" fillId="7" borderId="3" xfId="0" applyNumberFormat="1" applyFont="1" applyFill="1" applyBorder="1" applyAlignment="1" applyProtection="1">
      <alignment/>
      <protection locked="0"/>
    </xf>
    <xf numFmtId="177" fontId="29" fillId="7" borderId="12" xfId="0" applyNumberFormat="1" applyFont="1" applyFill="1" applyBorder="1" applyAlignment="1" applyProtection="1">
      <alignment/>
      <protection locked="0"/>
    </xf>
    <xf numFmtId="1" fontId="11" fillId="0" borderId="3" xfId="0" applyNumberFormat="1" applyFont="1" applyBorder="1" applyAlignment="1">
      <alignment horizontal="right"/>
    </xf>
    <xf numFmtId="1" fontId="11" fillId="2" borderId="3" xfId="0" applyNumberFormat="1" applyFont="1" applyFill="1" applyBorder="1" applyAlignment="1">
      <alignment horizontal="right"/>
    </xf>
    <xf numFmtId="1" fontId="26" fillId="0" borderId="3" xfId="0" applyNumberFormat="1" applyFont="1" applyFill="1" applyBorder="1" applyAlignment="1">
      <alignment horizontal="right"/>
    </xf>
    <xf numFmtId="177" fontId="11" fillId="7" borderId="2" xfId="21" applyNumberFormat="1" applyFont="1" applyFill="1" applyBorder="1" applyAlignment="1" applyProtection="1">
      <alignment/>
      <protection locked="0"/>
    </xf>
    <xf numFmtId="1" fontId="11" fillId="0" borderId="0" xfId="0" applyNumberFormat="1" applyFont="1" applyFill="1" applyBorder="1" applyAlignment="1">
      <alignment horizontal="right"/>
    </xf>
    <xf numFmtId="1" fontId="19" fillId="0" borderId="3" xfId="0" applyNumberFormat="1" applyFont="1" applyFill="1" applyBorder="1" applyAlignment="1">
      <alignment horizontal="left"/>
    </xf>
    <xf numFmtId="0" fontId="11" fillId="0" borderId="3" xfId="0" applyFont="1" applyBorder="1" applyAlignment="1">
      <alignment/>
    </xf>
    <xf numFmtId="1" fontId="19" fillId="0" borderId="3" xfId="0" applyNumberFormat="1" applyFont="1" applyFill="1" applyBorder="1" applyAlignment="1">
      <alignment horizontal="right"/>
    </xf>
    <xf numFmtId="0" fontId="11" fillId="2" borderId="0" xfId="19" applyFont="1" applyFill="1" applyBorder="1" applyAlignment="1" applyProtection="1">
      <alignment horizontal="left" vertical="center"/>
      <protection locked="0"/>
    </xf>
    <xf numFmtId="0" fontId="11" fillId="0" borderId="0" xfId="0" applyFont="1" applyBorder="1" applyAlignment="1" applyProtection="1">
      <alignment/>
      <protection locked="0"/>
    </xf>
    <xf numFmtId="0" fontId="39" fillId="0" borderId="0" xfId="0" applyFont="1" applyAlignment="1">
      <alignment/>
    </xf>
    <xf numFmtId="0" fontId="4" fillId="0" borderId="0" xfId="0" applyFont="1" applyBorder="1" applyAlignment="1" applyProtection="1">
      <alignment vertical="center"/>
      <protection locked="0"/>
    </xf>
    <xf numFmtId="0" fontId="30" fillId="4" borderId="2" xfId="0" applyFont="1" applyFill="1" applyBorder="1" applyAlignment="1" applyProtection="1">
      <alignment/>
      <protection locked="0"/>
    </xf>
    <xf numFmtId="0" fontId="19" fillId="0" borderId="0" xfId="0" applyFont="1" applyAlignment="1">
      <alignment/>
    </xf>
    <xf numFmtId="0" fontId="30" fillId="0" borderId="0" xfId="0" applyFont="1" applyAlignment="1" quotePrefix="1">
      <alignment horizontal="left"/>
    </xf>
    <xf numFmtId="0" fontId="11" fillId="8" borderId="5" xfId="0" applyFont="1" applyFill="1" applyBorder="1" applyAlignment="1">
      <alignment/>
    </xf>
    <xf numFmtId="0" fontId="11" fillId="8" borderId="4" xfId="0" applyFont="1" applyFill="1" applyBorder="1" applyAlignment="1">
      <alignment/>
    </xf>
    <xf numFmtId="0" fontId="11" fillId="8" borderId="9" xfId="0" applyFont="1" applyFill="1" applyBorder="1" applyAlignment="1">
      <alignment/>
    </xf>
    <xf numFmtId="0" fontId="19" fillId="0" borderId="3" xfId="0" applyFont="1" applyBorder="1" applyAlignment="1">
      <alignment/>
    </xf>
    <xf numFmtId="0" fontId="30" fillId="0" borderId="3" xfId="0" applyFont="1" applyBorder="1" applyAlignment="1">
      <alignment/>
    </xf>
    <xf numFmtId="9" fontId="30" fillId="0" borderId="2" xfId="21" applyFont="1" applyBorder="1" applyAlignment="1">
      <alignment/>
    </xf>
    <xf numFmtId="168" fontId="19" fillId="0" borderId="2" xfId="0" applyNumberFormat="1" applyFont="1" applyBorder="1" applyAlignment="1" quotePrefix="1">
      <alignment horizontal="center"/>
    </xf>
    <xf numFmtId="0" fontId="11" fillId="8" borderId="0" xfId="0" applyFont="1" applyFill="1" applyAlignment="1">
      <alignment/>
    </xf>
    <xf numFmtId="0" fontId="11" fillId="8" borderId="1" xfId="0" applyFont="1" applyFill="1" applyBorder="1" applyAlignment="1">
      <alignment/>
    </xf>
    <xf numFmtId="0" fontId="11" fillId="8" borderId="0" xfId="0" applyFont="1" applyFill="1" applyBorder="1" applyAlignment="1">
      <alignment/>
    </xf>
    <xf numFmtId="0" fontId="11" fillId="8" borderId="14" xfId="0" applyFont="1" applyFill="1" applyBorder="1" applyAlignment="1">
      <alignment/>
    </xf>
    <xf numFmtId="0" fontId="30" fillId="0" borderId="0" xfId="0" applyFont="1" applyAlignment="1">
      <alignment/>
    </xf>
    <xf numFmtId="0" fontId="11" fillId="8" borderId="2" xfId="0" applyFont="1" applyFill="1" applyBorder="1" applyAlignment="1">
      <alignment/>
    </xf>
    <xf numFmtId="3" fontId="19" fillId="0" borderId="2" xfId="0" applyNumberFormat="1" applyFont="1" applyBorder="1" applyAlignment="1" quotePrefix="1">
      <alignment horizontal="center"/>
    </xf>
    <xf numFmtId="0" fontId="11" fillId="8" borderId="11" xfId="0" applyFont="1" applyFill="1" applyBorder="1" applyAlignment="1">
      <alignment/>
    </xf>
    <xf numFmtId="0" fontId="11" fillId="8" borderId="3" xfId="0" applyFont="1" applyFill="1" applyBorder="1" applyAlignment="1">
      <alignment/>
    </xf>
    <xf numFmtId="0" fontId="11" fillId="8" borderId="12" xfId="0" applyFont="1" applyFill="1" applyBorder="1" applyAlignment="1">
      <alignment/>
    </xf>
    <xf numFmtId="0" fontId="19" fillId="0" borderId="4" xfId="0" applyFont="1" applyBorder="1" applyAlignment="1">
      <alignment/>
    </xf>
    <xf numFmtId="3" fontId="31" fillId="0" borderId="2" xfId="0" applyNumberFormat="1" applyFont="1" applyBorder="1" applyAlignment="1" quotePrefix="1">
      <alignment horizontal="right"/>
    </xf>
    <xf numFmtId="9" fontId="31" fillId="0" borderId="2" xfId="21" applyFont="1" applyBorder="1" applyAlignment="1" quotePrefix="1">
      <alignment horizontal="right"/>
    </xf>
    <xf numFmtId="3" fontId="11" fillId="0" borderId="0" xfId="0" applyNumberFormat="1" applyFont="1" applyAlignment="1" quotePrefix="1">
      <alignment horizontal="left"/>
    </xf>
    <xf numFmtId="3" fontId="19" fillId="7" borderId="2" xfId="0" applyNumberFormat="1" applyFont="1" applyFill="1" applyBorder="1" applyAlignment="1" applyProtection="1">
      <alignment/>
      <protection locked="0"/>
    </xf>
    <xf numFmtId="0" fontId="4" fillId="0" borderId="0" xfId="0" applyFont="1" applyAlignment="1">
      <alignment vertical="top" wrapText="1"/>
    </xf>
    <xf numFmtId="176" fontId="19" fillId="0" borderId="2" xfId="21" applyNumberFormat="1" applyFont="1" applyBorder="1" applyAlignment="1" quotePrefix="1">
      <alignment horizontal="center" vertical="center"/>
    </xf>
    <xf numFmtId="9" fontId="19" fillId="7" borderId="10" xfId="21" applyNumberFormat="1" applyFont="1" applyFill="1" applyBorder="1" applyAlignment="1" applyProtection="1" quotePrefix="1">
      <alignment horizontal="center" vertical="center"/>
      <protection locked="0"/>
    </xf>
    <xf numFmtId="9" fontId="19" fillId="4" borderId="2" xfId="21" applyFont="1" applyFill="1" applyBorder="1" applyAlignment="1">
      <alignment horizontal="right"/>
    </xf>
    <xf numFmtId="0" fontId="11" fillId="2" borderId="0" xfId="0" applyFont="1" applyFill="1" applyAlignment="1" applyProtection="1">
      <alignment/>
      <protection locked="0"/>
    </xf>
    <xf numFmtId="0" fontId="4" fillId="0" borderId="0" xfId="0" applyFont="1" applyAlignment="1">
      <alignment horizontal="center" vertical="center" wrapText="1"/>
    </xf>
    <xf numFmtId="0" fontId="11" fillId="0" borderId="0" xfId="0" applyFont="1" applyAlignment="1">
      <alignment vertical="center"/>
    </xf>
    <xf numFmtId="0" fontId="11" fillId="2" borderId="0" xfId="0" applyFont="1" applyFill="1" applyAlignment="1">
      <alignment horizontal="left" vertical="center"/>
    </xf>
    <xf numFmtId="0" fontId="26" fillId="0" borderId="0" xfId="0" applyFont="1" applyAlignment="1">
      <alignment/>
    </xf>
    <xf numFmtId="0" fontId="11" fillId="0" borderId="0" xfId="0" applyFont="1" applyFill="1" applyAlignment="1" quotePrefix="1">
      <alignment horizontal="left"/>
    </xf>
    <xf numFmtId="9" fontId="11" fillId="0" borderId="0" xfId="0" applyNumberFormat="1" applyFont="1" applyAlignment="1">
      <alignment/>
    </xf>
    <xf numFmtId="0" fontId="26" fillId="0" borderId="0" xfId="0" applyFont="1" applyAlignment="1" quotePrefix="1">
      <alignment horizontal="left"/>
    </xf>
    <xf numFmtId="0" fontId="10" fillId="2" borderId="0" xfId="0" applyFont="1" applyFill="1" applyAlignment="1" quotePrefix="1">
      <alignment horizontal="left" vertical="center"/>
    </xf>
    <xf numFmtId="0" fontId="26" fillId="0" borderId="0" xfId="0" applyFont="1" applyAlignment="1">
      <alignment horizontal="left"/>
    </xf>
    <xf numFmtId="2" fontId="42" fillId="2" borderId="0" xfId="0" applyNumberFormat="1" applyFont="1" applyFill="1" applyAlignment="1" quotePrefix="1">
      <alignment horizontal="right" vertical="center"/>
    </xf>
    <xf numFmtId="9" fontId="11" fillId="3" borderId="2" xfId="21" applyFont="1" applyFill="1" applyBorder="1" applyAlignment="1">
      <alignment horizontal="right" vertical="center"/>
    </xf>
    <xf numFmtId="9" fontId="11" fillId="7" borderId="2" xfId="21" applyFont="1" applyFill="1" applyBorder="1" applyAlignment="1">
      <alignment horizontal="right" vertical="center"/>
    </xf>
    <xf numFmtId="0" fontId="43" fillId="2" borderId="0" xfId="0" applyFont="1" applyFill="1" applyAlignment="1">
      <alignment horizontal="center" vertical="center"/>
    </xf>
    <xf numFmtId="0" fontId="11" fillId="0" borderId="0" xfId="0" applyFont="1" applyFill="1" applyBorder="1" applyAlignment="1" quotePrefix="1">
      <alignment horizontal="left" vertical="center"/>
    </xf>
    <xf numFmtId="9" fontId="11" fillId="0" borderId="2" xfId="21" applyFont="1" applyFill="1" applyBorder="1" applyAlignment="1">
      <alignment horizontal="right" vertical="center"/>
    </xf>
    <xf numFmtId="0" fontId="19" fillId="0" borderId="0" xfId="0" applyFont="1" applyAlignment="1">
      <alignment vertical="center"/>
    </xf>
    <xf numFmtId="0" fontId="29" fillId="0" borderId="0" xfId="0" applyFont="1" applyAlignment="1" quotePrefix="1">
      <alignment horizontal="left"/>
    </xf>
    <xf numFmtId="0" fontId="29" fillId="0" borderId="0" xfId="0" applyFont="1" applyAlignment="1">
      <alignment vertical="center"/>
    </xf>
    <xf numFmtId="0" fontId="29" fillId="0" borderId="0" xfId="0" applyFont="1" applyAlignment="1">
      <alignment/>
    </xf>
    <xf numFmtId="175" fontId="11" fillId="0" borderId="0" xfId="0" applyNumberFormat="1" applyFont="1" applyAlignment="1">
      <alignment/>
    </xf>
    <xf numFmtId="2" fontId="11" fillId="2" borderId="0" xfId="0" applyNumberFormat="1" applyFont="1" applyFill="1" applyAlignment="1" quotePrefix="1">
      <alignment horizontal="right" vertical="center"/>
    </xf>
    <xf numFmtId="0" fontId="10" fillId="2" borderId="0" xfId="0" applyFont="1" applyFill="1" applyAlignment="1">
      <alignment horizontal="center" vertical="center"/>
    </xf>
    <xf numFmtId="0" fontId="11" fillId="0" borderId="0" xfId="0" applyFont="1" applyAlignment="1" applyProtection="1" quotePrefix="1">
      <alignment horizontal="right"/>
      <protection locked="0"/>
    </xf>
    <xf numFmtId="0" fontId="11" fillId="0" borderId="0" xfId="0" applyFont="1" applyFill="1" applyAlignment="1" applyProtection="1">
      <alignment/>
      <protection locked="0"/>
    </xf>
    <xf numFmtId="0" fontId="11" fillId="0" borderId="0" xfId="0" applyFont="1" applyFill="1" applyBorder="1" applyAlignment="1">
      <alignment horizontal="left" vertical="center"/>
    </xf>
    <xf numFmtId="0" fontId="19" fillId="0" borderId="0" xfId="0" applyFont="1" applyAlignment="1">
      <alignment horizontal="center" vertical="top"/>
    </xf>
    <xf numFmtId="0" fontId="19" fillId="0" borderId="0" xfId="0" applyFont="1" applyAlignment="1" quotePrefix="1">
      <alignment horizontal="left" vertical="top"/>
    </xf>
    <xf numFmtId="0" fontId="11" fillId="2" borderId="0" xfId="0" applyFont="1" applyFill="1" applyAlignment="1" applyProtection="1">
      <alignment horizontal="right" vertical="center"/>
      <protection locked="0"/>
    </xf>
    <xf numFmtId="2" fontId="42" fillId="2" borderId="2" xfId="0" applyNumberFormat="1" applyFont="1" applyFill="1" applyBorder="1" applyAlignment="1" quotePrefix="1">
      <alignment horizontal="right" vertical="center"/>
    </xf>
    <xf numFmtId="0" fontId="10" fillId="2" borderId="0" xfId="0" applyFont="1" applyFill="1" applyAlignment="1" quotePrefix="1">
      <alignment horizontal="center" vertical="center"/>
    </xf>
    <xf numFmtId="0" fontId="19" fillId="0" borderId="0" xfId="0" applyFont="1" applyAlignment="1">
      <alignment horizontal="center"/>
    </xf>
    <xf numFmtId="2" fontId="11" fillId="2" borderId="0" xfId="0" applyNumberFormat="1" applyFont="1" applyFill="1" applyAlignment="1" quotePrefix="1">
      <alignment horizontal="left" vertical="center"/>
    </xf>
    <xf numFmtId="0" fontId="4" fillId="0" borderId="0" xfId="0" applyFont="1" applyAlignment="1">
      <alignment horizontal="right"/>
    </xf>
    <xf numFmtId="0" fontId="28" fillId="0" borderId="0" xfId="0" applyFont="1" applyAlignment="1">
      <alignment/>
    </xf>
    <xf numFmtId="0" fontId="43" fillId="0" borderId="0" xfId="0" applyFont="1" applyBorder="1" applyAlignment="1" applyProtection="1">
      <alignment/>
      <protection locked="0"/>
    </xf>
    <xf numFmtId="9" fontId="28" fillId="0" borderId="0" xfId="21" applyFont="1" applyAlignment="1">
      <alignment/>
    </xf>
    <xf numFmtId="0" fontId="43" fillId="0" borderId="0" xfId="0" applyFont="1" applyAlignment="1" applyProtection="1">
      <alignment/>
      <protection locked="0"/>
    </xf>
    <xf numFmtId="0" fontId="43" fillId="0" borderId="0" xfId="0" applyFont="1" applyAlignment="1">
      <alignment/>
    </xf>
    <xf numFmtId="0" fontId="11" fillId="7" borderId="2" xfId="0" applyFont="1" applyFill="1" applyBorder="1" applyAlignment="1" applyProtection="1">
      <alignment/>
      <protection locked="0"/>
    </xf>
    <xf numFmtId="0" fontId="24" fillId="6" borderId="0" xfId="0" applyFont="1" applyFill="1" applyAlignment="1">
      <alignment/>
    </xf>
    <xf numFmtId="168" fontId="19" fillId="0" borderId="5" xfId="0" applyNumberFormat="1" applyFont="1" applyBorder="1" applyAlignment="1">
      <alignment horizontal="right"/>
    </xf>
    <xf numFmtId="9" fontId="19" fillId="0" borderId="9" xfId="21" applyFont="1" applyBorder="1" applyAlignment="1">
      <alignment horizontal="right"/>
    </xf>
    <xf numFmtId="168" fontId="19" fillId="0" borderId="11" xfId="0" applyNumberFormat="1" applyFont="1" applyBorder="1" applyAlignment="1">
      <alignment/>
    </xf>
    <xf numFmtId="9" fontId="30" fillId="0" borderId="12" xfId="21" applyFont="1" applyBorder="1" applyAlignment="1">
      <alignment/>
    </xf>
    <xf numFmtId="3" fontId="19" fillId="0" borderId="11" xfId="0" applyNumberFormat="1" applyFont="1" applyBorder="1" applyAlignment="1">
      <alignment/>
    </xf>
    <xf numFmtId="9" fontId="4" fillId="0" borderId="0" xfId="21" applyFont="1" applyAlignment="1">
      <alignment/>
    </xf>
    <xf numFmtId="0" fontId="4" fillId="0" borderId="0" xfId="0" applyFont="1" applyAlignment="1" applyProtection="1">
      <alignment/>
      <protection locked="0"/>
    </xf>
    <xf numFmtId="3" fontId="11" fillId="0" borderId="0" xfId="0" applyNumberFormat="1" applyFont="1" applyAlignment="1" quotePrefix="1">
      <alignment horizontal="left" vertical="center"/>
    </xf>
    <xf numFmtId="0" fontId="11" fillId="2" borderId="2" xfId="0" applyFont="1" applyFill="1" applyBorder="1" applyAlignment="1">
      <alignment vertical="center"/>
    </xf>
    <xf numFmtId="9" fontId="11" fillId="7" borderId="2" xfId="21" applyFont="1" applyFill="1" applyBorder="1" applyAlignment="1" applyProtection="1">
      <alignment/>
      <protection locked="0"/>
    </xf>
    <xf numFmtId="9" fontId="19" fillId="0" borderId="2" xfId="21" applyFont="1" applyBorder="1" applyAlignment="1">
      <alignment horizontal="right"/>
    </xf>
    <xf numFmtId="0" fontId="4" fillId="0" borderId="0" xfId="0" applyFont="1" applyFill="1" applyBorder="1" applyAlignment="1">
      <alignment/>
    </xf>
    <xf numFmtId="0" fontId="50" fillId="0" borderId="0" xfId="0" applyFont="1" applyAlignment="1">
      <alignment/>
    </xf>
    <xf numFmtId="0" fontId="50" fillId="0" borderId="0" xfId="0" applyFont="1" applyFill="1" applyBorder="1" applyAlignment="1" quotePrefix="1">
      <alignment horizontal="left"/>
    </xf>
    <xf numFmtId="0" fontId="53" fillId="0" borderId="0" xfId="15" applyFont="1" applyAlignment="1">
      <alignment horizontal="left"/>
    </xf>
    <xf numFmtId="0" fontId="38" fillId="0" borderId="0" xfId="0" applyFont="1" applyAlignment="1">
      <alignment horizontal="center" vertical="center"/>
    </xf>
    <xf numFmtId="0" fontId="52" fillId="0" borderId="0" xfId="0" applyFont="1" applyAlignment="1" quotePrefix="1">
      <alignment horizontal="center" vertical="center"/>
    </xf>
    <xf numFmtId="0" fontId="22" fillId="0" borderId="0" xfId="15" applyFont="1" applyAlignment="1" quotePrefix="1">
      <alignment horizontal="left"/>
    </xf>
    <xf numFmtId="0" fontId="33" fillId="0" borderId="0" xfId="0" applyFont="1" applyAlignment="1">
      <alignment/>
    </xf>
    <xf numFmtId="0" fontId="54" fillId="0" borderId="0" xfId="0" applyFont="1" applyAlignment="1">
      <alignment/>
    </xf>
    <xf numFmtId="0" fontId="22" fillId="0" borderId="0" xfId="15" applyFont="1" applyAlignment="1">
      <alignment horizontal="left"/>
    </xf>
    <xf numFmtId="0" fontId="55" fillId="0" borderId="0" xfId="15" applyFont="1" applyAlignment="1">
      <alignment/>
    </xf>
    <xf numFmtId="0" fontId="55" fillId="0" borderId="0" xfId="15" applyFont="1" applyBorder="1" applyAlignment="1">
      <alignment/>
    </xf>
    <xf numFmtId="0" fontId="4" fillId="0" borderId="0" xfId="20" applyFont="1">
      <alignment/>
      <protection/>
    </xf>
    <xf numFmtId="0" fontId="4" fillId="0" borderId="0" xfId="20" applyFont="1" applyFill="1">
      <alignment/>
      <protection/>
    </xf>
    <xf numFmtId="0" fontId="4" fillId="0" borderId="0" xfId="20" applyFont="1" applyFill="1" applyAlignment="1" quotePrefix="1">
      <alignment horizontal="left"/>
      <protection/>
    </xf>
    <xf numFmtId="0" fontId="4" fillId="0" borderId="0" xfId="20" applyFont="1" applyFill="1" applyAlignment="1">
      <alignment horizontal="right"/>
      <protection/>
    </xf>
    <xf numFmtId="0" fontId="11" fillId="0" borderId="0" xfId="20">
      <alignment/>
      <protection/>
    </xf>
    <xf numFmtId="49" fontId="4" fillId="0" borderId="0" xfId="20" applyNumberFormat="1" applyFont="1">
      <alignment/>
      <protection/>
    </xf>
    <xf numFmtId="49" fontId="4" fillId="0" borderId="0" xfId="20" applyNumberFormat="1" applyFont="1" applyFill="1" applyAlignment="1" applyProtection="1" quotePrefix="1">
      <alignment horizontal="left" textRotation="90" wrapText="1"/>
      <protection locked="0"/>
    </xf>
    <xf numFmtId="49" fontId="4" fillId="0" borderId="0" xfId="20" applyNumberFormat="1" applyFont="1" applyFill="1" applyAlignment="1" applyProtection="1" quotePrefix="1">
      <alignment horizontal="center" textRotation="90" wrapText="1"/>
      <protection locked="0"/>
    </xf>
    <xf numFmtId="49" fontId="11" fillId="0" borderId="0" xfId="20" applyNumberFormat="1" applyAlignment="1">
      <alignment horizontal="left" textRotation="90" wrapText="1"/>
      <protection/>
    </xf>
    <xf numFmtId="49" fontId="4" fillId="0" borderId="0" xfId="20" applyNumberFormat="1" applyFont="1" applyAlignment="1">
      <alignment horizontal="left" textRotation="90" wrapText="1"/>
      <protection/>
    </xf>
    <xf numFmtId="168" fontId="4" fillId="0" borderId="0" xfId="20" applyNumberFormat="1" applyFont="1" applyFill="1">
      <alignment/>
      <protection/>
    </xf>
    <xf numFmtId="3" fontId="4" fillId="0" borderId="0" xfId="20" applyNumberFormat="1" applyFont="1">
      <alignment/>
      <protection/>
    </xf>
    <xf numFmtId="177" fontId="4" fillId="0" borderId="0" xfId="20" applyNumberFormat="1" applyFont="1">
      <alignment/>
      <protection/>
    </xf>
    <xf numFmtId="168" fontId="4" fillId="0" borderId="0" xfId="20" applyNumberFormat="1" applyFont="1" applyFill="1" applyAlignment="1">
      <alignment horizontal="right"/>
      <protection/>
    </xf>
    <xf numFmtId="177" fontId="4" fillId="0" borderId="0" xfId="20" applyNumberFormat="1" applyFont="1" applyFill="1">
      <alignment/>
      <protection/>
    </xf>
    <xf numFmtId="3" fontId="4" fillId="0" borderId="0" xfId="20" applyNumberFormat="1" applyFont="1" applyFill="1" applyAlignment="1">
      <alignment horizontal="right"/>
      <protection/>
    </xf>
    <xf numFmtId="4" fontId="4" fillId="0" borderId="0" xfId="20" applyNumberFormat="1" applyFont="1" applyFill="1" applyAlignment="1">
      <alignment horizontal="right"/>
      <protection/>
    </xf>
    <xf numFmtId="2" fontId="4" fillId="0" borderId="0" xfId="20" applyNumberFormat="1" applyFont="1">
      <alignment/>
      <protection/>
    </xf>
    <xf numFmtId="168" fontId="4" fillId="0" borderId="0" xfId="20" applyNumberFormat="1" applyFont="1">
      <alignment/>
      <protection/>
    </xf>
    <xf numFmtId="168" fontId="4" fillId="0" borderId="0" xfId="20" applyNumberFormat="1" applyFont="1" applyFill="1" applyProtection="1">
      <alignment/>
      <protection locked="0"/>
    </xf>
    <xf numFmtId="3" fontId="4" fillId="0" borderId="0" xfId="20" applyNumberFormat="1" applyFont="1" applyFill="1">
      <alignment/>
      <protection/>
    </xf>
    <xf numFmtId="4" fontId="4" fillId="0" borderId="0" xfId="20" applyNumberFormat="1" applyFont="1" applyFill="1">
      <alignment/>
      <protection/>
    </xf>
    <xf numFmtId="177" fontId="4" fillId="9" borderId="0" xfId="20" applyNumberFormat="1" applyFont="1" applyFill="1">
      <alignment/>
      <protection/>
    </xf>
    <xf numFmtId="168" fontId="4" fillId="3" borderId="0" xfId="20" applyNumberFormat="1" applyFont="1" applyFill="1">
      <alignment/>
      <protection/>
    </xf>
    <xf numFmtId="168" fontId="4" fillId="9" borderId="0" xfId="20" applyNumberFormat="1" applyFont="1" applyFill="1">
      <alignment/>
      <protection/>
    </xf>
    <xf numFmtId="177" fontId="4" fillId="3" borderId="0" xfId="20" applyNumberFormat="1" applyFont="1" applyFill="1">
      <alignment/>
      <protection/>
    </xf>
    <xf numFmtId="3" fontId="4" fillId="9" borderId="0" xfId="20" applyNumberFormat="1" applyFont="1" applyFill="1">
      <alignment/>
      <protection/>
    </xf>
    <xf numFmtId="3" fontId="4" fillId="3" borderId="0" xfId="20" applyNumberFormat="1" applyFont="1" applyFill="1">
      <alignment/>
      <protection/>
    </xf>
    <xf numFmtId="0" fontId="4" fillId="10" borderId="0" xfId="20" applyFont="1" applyFill="1">
      <alignment/>
      <protection/>
    </xf>
    <xf numFmtId="0" fontId="4" fillId="0" borderId="0" xfId="20" applyFont="1" applyFill="1" applyProtection="1">
      <alignment/>
      <protection locked="0"/>
    </xf>
    <xf numFmtId="0" fontId="4" fillId="0" borderId="0" xfId="20" applyFont="1" applyFill="1" applyAlignment="1" quotePrefix="1">
      <alignment horizontal="right"/>
      <protection/>
    </xf>
    <xf numFmtId="1" fontId="4" fillId="0" borderId="0" xfId="20" applyNumberFormat="1" applyFont="1">
      <alignment/>
      <protection/>
    </xf>
    <xf numFmtId="9" fontId="4" fillId="0" borderId="0" xfId="21" applyFont="1" applyFill="1" applyAlignment="1">
      <alignment horizontal="right"/>
    </xf>
    <xf numFmtId="3" fontId="19" fillId="0" borderId="5" xfId="0" applyNumberFormat="1" applyFont="1" applyBorder="1" applyAlignment="1" quotePrefix="1">
      <alignment horizontal="right"/>
    </xf>
    <xf numFmtId="0" fontId="11" fillId="0" borderId="0" xfId="20" applyFont="1">
      <alignment/>
      <protection/>
    </xf>
    <xf numFmtId="0" fontId="11" fillId="0" borderId="0" xfId="20" applyFont="1" applyFill="1">
      <alignment/>
      <protection/>
    </xf>
    <xf numFmtId="0" fontId="11" fillId="0" borderId="0" xfId="20" applyFont="1" applyFill="1" applyAlignment="1" quotePrefix="1">
      <alignment horizontal="left"/>
      <protection/>
    </xf>
    <xf numFmtId="49" fontId="4" fillId="3" borderId="0" xfId="20" applyNumberFormat="1" applyFont="1" applyFill="1" applyAlignment="1" applyProtection="1" quotePrefix="1">
      <alignment horizontal="center" textRotation="90" wrapText="1"/>
      <protection locked="0"/>
    </xf>
    <xf numFmtId="49" fontId="4" fillId="3" borderId="0" xfId="20" applyNumberFormat="1" applyFont="1" applyFill="1" applyAlignment="1" quotePrefix="1">
      <alignment horizontal="center" textRotation="90" wrapText="1"/>
      <protection/>
    </xf>
    <xf numFmtId="49" fontId="11" fillId="0" borderId="0" xfId="20" applyNumberFormat="1" applyFont="1" applyFill="1" applyAlignment="1" applyProtection="1" quotePrefix="1">
      <alignment horizontal="left" vertical="center"/>
      <protection locked="0"/>
    </xf>
    <xf numFmtId="0" fontId="4" fillId="0" borderId="0" xfId="20" applyFont="1" applyAlignment="1" quotePrefix="1">
      <alignment horizontal="center"/>
      <protection/>
    </xf>
    <xf numFmtId="0" fontId="4" fillId="2" borderId="0" xfId="0" applyFont="1" applyFill="1" applyAlignment="1" quotePrefix="1">
      <alignment horizontal="left" vertical="center"/>
    </xf>
    <xf numFmtId="0" fontId="23" fillId="0" borderId="0" xfId="0" applyFont="1" applyAlignment="1">
      <alignment/>
    </xf>
    <xf numFmtId="0" fontId="23" fillId="0" borderId="7" xfId="0" applyFont="1" applyBorder="1" applyAlignment="1">
      <alignment/>
    </xf>
    <xf numFmtId="0" fontId="4" fillId="3" borderId="0" xfId="0" applyFont="1" applyFill="1" applyAlignment="1">
      <alignment/>
    </xf>
    <xf numFmtId="0" fontId="11" fillId="0" borderId="0" xfId="0" applyFont="1" applyAlignment="1">
      <alignment horizontal="right"/>
    </xf>
    <xf numFmtId="0" fontId="4" fillId="3" borderId="0" xfId="0" applyFont="1" applyFill="1" applyAlignment="1" quotePrefix="1">
      <alignment horizontal="right"/>
    </xf>
    <xf numFmtId="3" fontId="29" fillId="7" borderId="2" xfId="21" applyNumberFormat="1" applyFont="1" applyFill="1" applyBorder="1" applyAlignment="1" applyProtection="1">
      <alignment/>
      <protection locked="0"/>
    </xf>
    <xf numFmtId="177" fontId="4" fillId="0" borderId="0" xfId="0" applyNumberFormat="1" applyFont="1" applyAlignment="1">
      <alignment/>
    </xf>
    <xf numFmtId="177" fontId="19" fillId="0" borderId="2" xfId="0" applyNumberFormat="1" applyFont="1" applyBorder="1" applyAlignment="1" quotePrefix="1">
      <alignment horizontal="center"/>
    </xf>
    <xf numFmtId="177" fontId="19" fillId="2" borderId="2" xfId="0" applyNumberFormat="1" applyFont="1" applyFill="1" applyBorder="1" applyAlignment="1" quotePrefix="1">
      <alignment horizontal="center"/>
    </xf>
    <xf numFmtId="177" fontId="11" fillId="8" borderId="2" xfId="0" applyNumberFormat="1" applyFont="1" applyFill="1" applyBorder="1" applyAlignment="1">
      <alignment/>
    </xf>
    <xf numFmtId="3" fontId="4" fillId="3" borderId="0" xfId="0" applyNumberFormat="1" applyFont="1" applyFill="1" applyAlignment="1">
      <alignment/>
    </xf>
    <xf numFmtId="0" fontId="19" fillId="0" borderId="0" xfId="0" applyFont="1" applyAlignment="1">
      <alignment vertical="top" wrapText="1"/>
    </xf>
    <xf numFmtId="0" fontId="11" fillId="7" borderId="6" xfId="0" applyFont="1" applyFill="1" applyBorder="1" applyAlignment="1" applyProtection="1">
      <alignment vertical="center"/>
      <protection locked="0"/>
    </xf>
    <xf numFmtId="0" fontId="57" fillId="0" borderId="0" xfId="15" applyFont="1" applyAlignment="1">
      <alignment/>
    </xf>
    <xf numFmtId="0" fontId="19" fillId="0" borderId="0" xfId="0" applyFont="1" applyAlignment="1" quotePrefix="1">
      <alignment horizontal="left" vertical="center" wrapText="1"/>
    </xf>
    <xf numFmtId="0" fontId="4" fillId="0" borderId="0" xfId="0" applyFont="1" applyAlignment="1">
      <alignment vertical="center" wrapText="1"/>
    </xf>
    <xf numFmtId="0" fontId="4" fillId="7" borderId="5" xfId="0" applyFont="1" applyFill="1" applyBorder="1" applyAlignment="1">
      <alignment vertical="center" wrapText="1"/>
    </xf>
    <xf numFmtId="0" fontId="4" fillId="7" borderId="9" xfId="0" applyFont="1" applyFill="1" applyBorder="1" applyAlignment="1">
      <alignment vertical="center" wrapText="1"/>
    </xf>
    <xf numFmtId="0" fontId="4" fillId="7" borderId="11" xfId="0" applyFont="1" applyFill="1" applyBorder="1" applyAlignment="1">
      <alignment vertical="center" wrapText="1"/>
    </xf>
    <xf numFmtId="0" fontId="4" fillId="7" borderId="12" xfId="0" applyFont="1" applyFill="1" applyBorder="1" applyAlignment="1">
      <alignment vertical="center" wrapText="1"/>
    </xf>
    <xf numFmtId="0" fontId="38" fillId="2" borderId="0" xfId="0" applyFont="1" applyFill="1" applyBorder="1" applyAlignment="1">
      <alignment horizontal="center" vertical="center"/>
    </xf>
    <xf numFmtId="0" fontId="19" fillId="0" borderId="0" xfId="0" applyFont="1" applyAlignment="1">
      <alignment vertical="center" wrapText="1"/>
    </xf>
    <xf numFmtId="0" fontId="49" fillId="0" borderId="0" xfId="0" applyFont="1" applyFill="1" applyBorder="1" applyAlignment="1">
      <alignment horizontal="center" vertical="center"/>
    </xf>
    <xf numFmtId="0" fontId="38" fillId="11" borderId="0" xfId="0" applyFont="1" applyFill="1" applyBorder="1" applyAlignment="1" quotePrefix="1">
      <alignment horizontal="center" vertical="center"/>
    </xf>
    <xf numFmtId="0" fontId="27" fillId="11" borderId="0" xfId="0" applyFont="1" applyFill="1" applyAlignment="1">
      <alignment horizontal="center" vertical="center"/>
    </xf>
    <xf numFmtId="0" fontId="24" fillId="6" borderId="0" xfId="0" applyFont="1" applyFill="1" applyAlignment="1">
      <alignment horizontal="center" vertical="center"/>
    </xf>
    <xf numFmtId="0" fontId="26" fillId="0" borderId="0" xfId="0" applyFont="1" applyAlignment="1">
      <alignment horizontal="center" vertical="center"/>
    </xf>
    <xf numFmtId="0" fontId="24" fillId="6" borderId="0" xfId="0" applyFont="1" applyFill="1" applyAlignment="1" quotePrefix="1">
      <alignment horizontal="center" vertical="center"/>
    </xf>
    <xf numFmtId="0" fontId="34" fillId="6" borderId="0" xfId="0" applyFont="1" applyFill="1" applyAlignment="1" quotePrefix="1">
      <alignment horizontal="center" vertical="center"/>
    </xf>
    <xf numFmtId="0" fontId="11" fillId="0" borderId="0" xfId="0" applyFont="1" applyAlignment="1">
      <alignment horizontal="center" vertical="center"/>
    </xf>
    <xf numFmtId="0" fontId="19" fillId="0" borderId="0" xfId="0" applyFont="1" applyAlignment="1" quotePrefix="1">
      <alignment horizontal="left" vertical="top" wrapText="1"/>
    </xf>
    <xf numFmtId="0" fontId="11" fillId="7" borderId="7" xfId="0" applyFont="1" applyFill="1" applyBorder="1" applyAlignment="1" applyProtection="1">
      <alignment vertical="center"/>
      <protection locked="0"/>
    </xf>
    <xf numFmtId="0" fontId="11" fillId="7" borderId="8" xfId="0" applyFont="1" applyFill="1" applyBorder="1" applyAlignment="1" applyProtection="1">
      <alignment vertical="center"/>
      <protection locked="0"/>
    </xf>
    <xf numFmtId="0" fontId="21" fillId="0" borderId="0" xfId="0" applyFont="1" applyAlignment="1" quotePrefix="1">
      <alignment vertical="top" wrapText="1"/>
    </xf>
    <xf numFmtId="0" fontId="4" fillId="0" borderId="0" xfId="0" applyFont="1" applyAlignment="1">
      <alignment vertical="top" wrapText="1"/>
    </xf>
    <xf numFmtId="0" fontId="11"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38" fillId="11" borderId="0" xfId="0" applyFont="1" applyFill="1" applyAlignment="1" quotePrefix="1">
      <alignment horizontal="center" vertical="center" wrapText="1"/>
    </xf>
    <xf numFmtId="0" fontId="38" fillId="11" borderId="0" xfId="0" applyFont="1" applyFill="1" applyAlignment="1">
      <alignment horizontal="center" vertical="center" wrapText="1"/>
    </xf>
    <xf numFmtId="1" fontId="30" fillId="4" borderId="4" xfId="0" applyNumberFormat="1" applyFont="1" applyFill="1" applyBorder="1" applyAlignment="1">
      <alignment horizontal="right" vertical="center"/>
    </xf>
    <xf numFmtId="1" fontId="30" fillId="4" borderId="3" xfId="0" applyNumberFormat="1" applyFont="1" applyFill="1" applyBorder="1" applyAlignment="1">
      <alignment horizontal="right" vertical="center"/>
    </xf>
    <xf numFmtId="0" fontId="23" fillId="0" borderId="0" xfId="0" applyFont="1" applyBorder="1" applyAlignment="1" quotePrefix="1">
      <alignment horizontal="center" vertical="center" wrapText="1"/>
    </xf>
    <xf numFmtId="0" fontId="23"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19" fillId="0" borderId="0" xfId="0" applyFont="1" applyBorder="1" applyAlignment="1" quotePrefix="1">
      <alignment horizontal="left" vertical="top" wrapText="1"/>
    </xf>
    <xf numFmtId="0" fontId="4" fillId="0" borderId="0" xfId="0" applyFont="1" applyBorder="1" applyAlignment="1">
      <alignment vertical="top" wrapText="1"/>
    </xf>
    <xf numFmtId="0" fontId="4" fillId="0" borderId="3" xfId="0" applyFont="1" applyBorder="1" applyAlignment="1">
      <alignment vertical="top" wrapText="1"/>
    </xf>
    <xf numFmtId="0" fontId="22" fillId="0" borderId="0" xfId="0" applyFont="1" applyAlignment="1" quotePrefix="1">
      <alignment horizontal="left" vertical="center" wrapText="1"/>
    </xf>
    <xf numFmtId="0" fontId="24" fillId="6" borderId="0" xfId="0" applyFont="1" applyFill="1" applyBorder="1" applyAlignment="1" quotePrefix="1">
      <alignment vertical="center" wrapText="1"/>
    </xf>
    <xf numFmtId="0" fontId="35" fillId="6" borderId="0" xfId="0" applyFont="1" applyFill="1" applyBorder="1" applyAlignment="1">
      <alignment vertical="center" wrapText="1"/>
    </xf>
    <xf numFmtId="0" fontId="36" fillId="6" borderId="0" xfId="0" applyFont="1" applyFill="1" applyAlignment="1">
      <alignment vertical="center" wrapText="1"/>
    </xf>
    <xf numFmtId="0" fontId="24" fillId="6" borderId="0" xfId="0" applyFont="1" applyFill="1" applyBorder="1" applyAlignment="1">
      <alignment vertical="center" wrapText="1"/>
    </xf>
    <xf numFmtId="0" fontId="23" fillId="0" borderId="0" xfId="0" applyFont="1" applyAlignment="1">
      <alignment horizontal="center" vertical="center"/>
    </xf>
    <xf numFmtId="0" fontId="56" fillId="0" borderId="0" xfId="0" applyFont="1" applyAlignment="1">
      <alignment horizontal="center" vertical="center"/>
    </xf>
    <xf numFmtId="0" fontId="19" fillId="2" borderId="0" xfId="0" applyFont="1" applyFill="1" applyAlignment="1" quotePrefix="1">
      <alignment vertical="top" wrapText="1"/>
    </xf>
    <xf numFmtId="0" fontId="4" fillId="2" borderId="0" xfId="0" applyFont="1" applyFill="1" applyAlignment="1">
      <alignment vertical="top" wrapText="1"/>
    </xf>
    <xf numFmtId="0" fontId="19" fillId="0" borderId="10" xfId="0" applyFont="1" applyBorder="1" applyAlignment="1">
      <alignment vertical="center" wrapText="1"/>
    </xf>
    <xf numFmtId="0" fontId="27" fillId="0" borderId="13" xfId="0" applyFont="1" applyBorder="1" applyAlignment="1">
      <alignment vertical="center" wrapText="1"/>
    </xf>
    <xf numFmtId="0" fontId="11" fillId="0" borderId="9" xfId="0" applyFont="1" applyBorder="1" applyAlignment="1">
      <alignment vertical="center" wrapText="1"/>
    </xf>
    <xf numFmtId="0" fontId="11" fillId="0" borderId="12" xfId="0" applyFont="1" applyBorder="1" applyAlignment="1">
      <alignment vertical="center" wrapText="1"/>
    </xf>
    <xf numFmtId="1" fontId="19" fillId="4" borderId="10" xfId="0" applyNumberFormat="1" applyFont="1" applyFill="1" applyBorder="1" applyAlignment="1">
      <alignment horizontal="right" vertical="center"/>
    </xf>
    <xf numFmtId="1" fontId="19" fillId="4" borderId="13" xfId="0" applyNumberFormat="1" applyFont="1" applyFill="1" applyBorder="1" applyAlignment="1">
      <alignment horizontal="right" vertical="center"/>
    </xf>
    <xf numFmtId="0" fontId="23" fillId="0" borderId="0" xfId="0" applyFont="1" applyAlignment="1">
      <alignment horizontal="center" vertical="center" wrapText="1"/>
    </xf>
    <xf numFmtId="0" fontId="30" fillId="0" borderId="15" xfId="0" applyFont="1" applyBorder="1" applyAlignment="1" quotePrefix="1">
      <alignment horizontal="left" vertical="center" wrapText="1"/>
    </xf>
    <xf numFmtId="0" fontId="30" fillId="0" borderId="15" xfId="0" applyFont="1" applyBorder="1" applyAlignment="1">
      <alignment vertical="center" wrapText="1"/>
    </xf>
    <xf numFmtId="0" fontId="22" fillId="0" borderId="0" xfId="0" applyFont="1" applyAlignment="1" quotePrefix="1">
      <alignment vertical="center" wrapText="1"/>
    </xf>
    <xf numFmtId="0" fontId="31" fillId="0" borderId="0" xfId="0" applyFont="1" applyAlignment="1" quotePrefix="1">
      <alignment horizontal="center" vertical="center" wrapText="1"/>
    </xf>
    <xf numFmtId="0" fontId="32" fillId="0" borderId="0" xfId="0" applyFont="1" applyAlignment="1">
      <alignment horizontal="center" vertical="center" wrapText="1"/>
    </xf>
    <xf numFmtId="0" fontId="23" fillId="0" borderId="4" xfId="0" applyFont="1" applyBorder="1" applyAlignment="1">
      <alignment horizontal="center" vertical="center"/>
    </xf>
    <xf numFmtId="0" fontId="19" fillId="0" borderId="15" xfId="0" applyFont="1" applyBorder="1" applyAlignment="1">
      <alignment vertical="center" wrapText="1"/>
    </xf>
    <xf numFmtId="0" fontId="17" fillId="6" borderId="0" xfId="0" applyFont="1" applyFill="1" applyBorder="1" applyAlignment="1" quotePrefix="1">
      <alignment horizontal="center" vertical="center"/>
    </xf>
    <xf numFmtId="0" fontId="4" fillId="0" borderId="0" xfId="0" applyFont="1" applyAlignment="1">
      <alignment horizontal="center" vertical="center"/>
    </xf>
    <xf numFmtId="0" fontId="19" fillId="0" borderId="6" xfId="0" applyFont="1" applyBorder="1" applyAlignment="1">
      <alignment horizontal="center" vertical="center"/>
    </xf>
    <xf numFmtId="0" fontId="4" fillId="0" borderId="8" xfId="0" applyFont="1" applyBorder="1" applyAlignment="1">
      <alignment horizontal="center" vertical="center"/>
    </xf>
    <xf numFmtId="0" fontId="11" fillId="0" borderId="2" xfId="0" applyFont="1" applyBorder="1" applyAlignment="1">
      <alignment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3" fontId="19" fillId="4" borderId="6" xfId="0" applyNumberFormat="1" applyFont="1" applyFill="1" applyBorder="1" applyAlignment="1">
      <alignment horizontal="right" vertical="center"/>
    </xf>
    <xf numFmtId="3" fontId="39" fillId="4" borderId="7" xfId="0" applyNumberFormat="1" applyFont="1" applyFill="1" applyBorder="1" applyAlignment="1">
      <alignment horizontal="right" vertical="center"/>
    </xf>
    <xf numFmtId="3" fontId="39" fillId="4" borderId="8" xfId="0" applyNumberFormat="1" applyFont="1" applyFill="1" applyBorder="1" applyAlignment="1">
      <alignment horizontal="right" vertical="center"/>
    </xf>
    <xf numFmtId="3" fontId="19" fillId="2" borderId="6" xfId="0" applyNumberFormat="1" applyFont="1" applyFill="1" applyBorder="1" applyAlignment="1">
      <alignment horizontal="center" vertical="center"/>
    </xf>
    <xf numFmtId="3" fontId="39" fillId="2" borderId="7" xfId="0" applyNumberFormat="1" applyFont="1" applyFill="1" applyBorder="1" applyAlignment="1">
      <alignment horizontal="center" vertical="center"/>
    </xf>
    <xf numFmtId="3" fontId="39" fillId="2" borderId="8" xfId="0" applyNumberFormat="1" applyFont="1" applyFill="1" applyBorder="1" applyAlignment="1">
      <alignment horizontal="center" vertical="center"/>
    </xf>
    <xf numFmtId="0" fontId="19" fillId="4" borderId="6" xfId="0" applyFont="1" applyFill="1" applyBorder="1" applyAlignment="1">
      <alignment horizontal="center" vertical="center"/>
    </xf>
    <xf numFmtId="0" fontId="19" fillId="4" borderId="8" xfId="0" applyFont="1" applyFill="1" applyBorder="1" applyAlignment="1">
      <alignment horizontal="center" vertical="center"/>
    </xf>
    <xf numFmtId="0" fontId="56" fillId="0" borderId="0" xfId="0" applyFont="1" applyAlignment="1">
      <alignment horizontal="center" vertical="center" wrapText="1"/>
    </xf>
    <xf numFmtId="1" fontId="19" fillId="7" borderId="6" xfId="21" applyNumberFormat="1" applyFont="1" applyFill="1" applyBorder="1" applyAlignment="1" applyProtection="1">
      <alignment horizontal="right" vertical="center"/>
      <protection locked="0"/>
    </xf>
    <xf numFmtId="1" fontId="39" fillId="7" borderId="7" xfId="21" applyNumberFormat="1" applyFont="1" applyFill="1" applyBorder="1" applyAlignment="1" applyProtection="1">
      <alignment horizontal="right" vertical="center"/>
      <protection locked="0"/>
    </xf>
    <xf numFmtId="1" fontId="39" fillId="7" borderId="8" xfId="21" applyNumberFormat="1" applyFont="1" applyFill="1" applyBorder="1" applyAlignment="1" applyProtection="1">
      <alignment horizontal="right" vertical="center"/>
      <protection locked="0"/>
    </xf>
    <xf numFmtId="0" fontId="26" fillId="0" borderId="3" xfId="0" applyFont="1" applyBorder="1" applyAlignment="1">
      <alignment horizontal="center" vertical="center"/>
    </xf>
    <xf numFmtId="0" fontId="11" fillId="7" borderId="11" xfId="0" applyFont="1" applyFill="1" applyBorder="1" applyAlignment="1" applyProtection="1" quotePrefix="1">
      <alignment horizontal="center" vertical="center"/>
      <protection locked="0"/>
    </xf>
    <xf numFmtId="0" fontId="11" fillId="7" borderId="3"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7" borderId="7" xfId="0" applyFont="1" applyFill="1" applyBorder="1" applyAlignment="1" applyProtection="1">
      <alignment vertical="center"/>
      <protection locked="0"/>
    </xf>
    <xf numFmtId="0" fontId="4" fillId="7" borderId="8" xfId="0" applyFont="1" applyFill="1" applyBorder="1" applyAlignment="1" applyProtection="1">
      <alignment vertical="center"/>
      <protection locked="0"/>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19" fillId="0" borderId="0" xfId="0" applyFont="1" applyAlignment="1" quotePrefix="1">
      <alignment vertical="center" wrapText="1"/>
    </xf>
    <xf numFmtId="3" fontId="19" fillId="7" borderId="6" xfId="21" applyNumberFormat="1" applyFont="1" applyFill="1" applyBorder="1" applyAlignment="1" applyProtection="1">
      <alignment horizontal="right" vertical="center"/>
      <protection locked="0"/>
    </xf>
    <xf numFmtId="3" fontId="39" fillId="7" borderId="7" xfId="21" applyNumberFormat="1" applyFont="1" applyFill="1" applyBorder="1" applyAlignment="1" applyProtection="1">
      <alignment horizontal="right" vertical="center"/>
      <protection locked="0"/>
    </xf>
    <xf numFmtId="3" fontId="39" fillId="7" borderId="8" xfId="21" applyNumberFormat="1" applyFont="1" applyFill="1" applyBorder="1" applyAlignment="1" applyProtection="1">
      <alignment horizontal="right" vertical="center"/>
      <protection locked="0"/>
    </xf>
    <xf numFmtId="0" fontId="4" fillId="0" borderId="14" xfId="0" applyFont="1" applyBorder="1" applyAlignment="1">
      <alignment vertical="center" wrapText="1"/>
    </xf>
    <xf numFmtId="0" fontId="19" fillId="0" borderId="0" xfId="0" applyFont="1" applyAlignment="1" quotePrefix="1">
      <alignment vertical="top" wrapText="1"/>
    </xf>
    <xf numFmtId="0" fontId="35" fillId="6" borderId="0" xfId="0" applyFont="1" applyFill="1" applyAlignment="1">
      <alignment horizontal="center" vertical="center"/>
    </xf>
    <xf numFmtId="0" fontId="35" fillId="6" borderId="14" xfId="0" applyFont="1" applyFill="1" applyBorder="1" applyAlignment="1">
      <alignment horizontal="center" vertical="center"/>
    </xf>
    <xf numFmtId="0" fontId="44" fillId="6" borderId="0" xfId="0" applyFont="1" applyFill="1" applyAlignment="1" quotePrefix="1">
      <alignment horizontal="left" vertical="center"/>
    </xf>
    <xf numFmtId="0" fontId="10" fillId="0" borderId="0" xfId="0" applyFont="1" applyAlignment="1">
      <alignment vertical="center"/>
    </xf>
    <xf numFmtId="0" fontId="4" fillId="0" borderId="0" xfId="0" applyFont="1" applyAlignment="1">
      <alignment vertical="center"/>
    </xf>
    <xf numFmtId="9" fontId="19" fillId="4" borderId="6" xfId="21" applyFont="1" applyFill="1" applyBorder="1" applyAlignment="1">
      <alignment horizontal="right" vertical="center"/>
    </xf>
    <xf numFmtId="9" fontId="39" fillId="4" borderId="7" xfId="21" applyFont="1" applyFill="1" applyBorder="1" applyAlignment="1">
      <alignment horizontal="right" vertical="center"/>
    </xf>
    <xf numFmtId="9" fontId="39" fillId="4" borderId="8" xfId="21" applyFont="1" applyFill="1" applyBorder="1" applyAlignment="1">
      <alignment horizontal="right" vertical="center"/>
    </xf>
    <xf numFmtId="0" fontId="17" fillId="6" borderId="0" xfId="0" applyFont="1" applyFill="1" applyBorder="1" applyAlignment="1">
      <alignment horizontal="center" vertical="center" wrapText="1"/>
    </xf>
    <xf numFmtId="0" fontId="41" fillId="0" borderId="0" xfId="0" applyFont="1" applyAlignment="1">
      <alignment horizontal="center" vertical="center" wrapText="1"/>
    </xf>
    <xf numFmtId="0" fontId="26" fillId="0" borderId="0" xfId="0" applyFont="1" applyAlignment="1">
      <alignment horizontal="right" vertical="center"/>
    </xf>
    <xf numFmtId="1" fontId="11" fillId="0" borderId="0" xfId="0" applyNumberFormat="1" applyFont="1" applyAlignment="1" quotePrefix="1">
      <alignment horizontal="right" vertical="center"/>
    </xf>
    <xf numFmtId="1" fontId="11" fillId="0" borderId="0" xfId="0" applyNumberFormat="1" applyFont="1" applyAlignment="1">
      <alignment horizontal="right" vertical="center"/>
    </xf>
    <xf numFmtId="175" fontId="11" fillId="10" borderId="0" xfId="0" applyNumberFormat="1" applyFont="1" applyFill="1" applyAlignment="1" quotePrefix="1">
      <alignment horizontal="right" vertical="center"/>
    </xf>
    <xf numFmtId="175" fontId="11" fillId="10" borderId="0" xfId="0" applyNumberFormat="1" applyFont="1" applyFill="1" applyAlignment="1">
      <alignment horizontal="right"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9" fontId="11" fillId="2" borderId="11" xfId="21" applyFont="1" applyFill="1" applyBorder="1" applyAlignment="1" applyProtection="1">
      <alignment vertical="center"/>
      <protection locked="0"/>
    </xf>
    <xf numFmtId="9" fontId="4" fillId="2" borderId="3" xfId="21" applyFont="1" applyFill="1" applyBorder="1" applyAlignment="1" applyProtection="1">
      <alignment vertical="center"/>
      <protection locked="0"/>
    </xf>
    <xf numFmtId="0" fontId="4" fillId="2" borderId="12" xfId="0" applyFont="1" applyFill="1" applyBorder="1" applyAlignment="1">
      <alignment vertical="center"/>
    </xf>
    <xf numFmtId="0" fontId="11" fillId="0" borderId="6" xfId="0" applyFont="1" applyBorder="1" applyAlignment="1" quotePrefix="1">
      <alignment horizontal="lef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horizontal="right" vertical="center"/>
    </xf>
    <xf numFmtId="175" fontId="11" fillId="0" borderId="0" xfId="0" applyNumberFormat="1" applyFont="1" applyAlignment="1">
      <alignment horizontal="right" vertical="center"/>
    </xf>
    <xf numFmtId="9" fontId="11" fillId="7" borderId="6" xfId="21" applyFont="1" applyFill="1" applyBorder="1" applyAlignment="1" applyProtection="1">
      <alignment horizontal="right" vertical="center"/>
      <protection locked="0"/>
    </xf>
    <xf numFmtId="9" fontId="4" fillId="7" borderId="7" xfId="21" applyFont="1" applyFill="1" applyBorder="1" applyAlignment="1" applyProtection="1">
      <alignment horizontal="right" vertical="center"/>
      <protection locked="0"/>
    </xf>
    <xf numFmtId="9" fontId="4" fillId="7" borderId="8" xfId="21" applyFont="1" applyFill="1" applyBorder="1" applyAlignment="1" applyProtection="1">
      <alignment horizontal="right" vertical="center"/>
      <protection locked="0"/>
    </xf>
    <xf numFmtId="0" fontId="11" fillId="3" borderId="6" xfId="0" applyFont="1" applyFill="1" applyBorder="1" applyAlignment="1" quotePrefix="1">
      <alignment horizontal="left" vertical="center"/>
    </xf>
    <xf numFmtId="0" fontId="11" fillId="3" borderId="7" xfId="0" applyFont="1" applyFill="1" applyBorder="1" applyAlignment="1">
      <alignment vertical="center"/>
    </xf>
    <xf numFmtId="0" fontId="11" fillId="3" borderId="8" xfId="0" applyFont="1" applyFill="1" applyBorder="1" applyAlignment="1">
      <alignment vertical="center"/>
    </xf>
    <xf numFmtId="0" fontId="33" fillId="0" borderId="0" xfId="0" applyFont="1" applyAlignment="1">
      <alignment vertical="top" wrapText="1"/>
    </xf>
    <xf numFmtId="0" fontId="24" fillId="6" borderId="6" xfId="0" applyFont="1" applyFill="1" applyBorder="1" applyAlignment="1">
      <alignment vertical="center"/>
    </xf>
    <xf numFmtId="0" fontId="24" fillId="6" borderId="7" xfId="0" applyFont="1" applyFill="1" applyBorder="1" applyAlignment="1">
      <alignment vertical="center"/>
    </xf>
    <xf numFmtId="0" fontId="24" fillId="6" borderId="8" xfId="0" applyFont="1" applyFill="1" applyBorder="1" applyAlignment="1">
      <alignment vertical="center"/>
    </xf>
    <xf numFmtId="0" fontId="35" fillId="6" borderId="0" xfId="0" applyFont="1" applyFill="1" applyAlignment="1" quotePrefix="1">
      <alignment horizontal="left" vertical="center" wrapText="1"/>
    </xf>
    <xf numFmtId="0" fontId="35" fillId="6" borderId="0" xfId="0" applyFont="1" applyFill="1" applyAlignment="1">
      <alignment vertical="center" wrapText="1"/>
    </xf>
    <xf numFmtId="0" fontId="19" fillId="4" borderId="6" xfId="0" applyFont="1" applyFill="1" applyBorder="1" applyAlignment="1" quotePrefix="1">
      <alignment horizontal="left" vertical="center"/>
    </xf>
    <xf numFmtId="0" fontId="19" fillId="4" borderId="8" xfId="0" applyFont="1" applyFill="1" applyBorder="1" applyAlignment="1">
      <alignment vertical="center"/>
    </xf>
    <xf numFmtId="0" fontId="19" fillId="4" borderId="7" xfId="0" applyFont="1" applyFill="1" applyBorder="1" applyAlignment="1">
      <alignment vertical="center"/>
    </xf>
    <xf numFmtId="0" fontId="39" fillId="4" borderId="8" xfId="0" applyFont="1" applyFill="1" applyBorder="1" applyAlignment="1">
      <alignment vertical="center"/>
    </xf>
    <xf numFmtId="0" fontId="19" fillId="4" borderId="6" xfId="0" applyFont="1" applyFill="1" applyBorder="1" applyAlignment="1" quotePrefix="1">
      <alignment vertical="center"/>
    </xf>
    <xf numFmtId="0" fontId="23" fillId="0" borderId="14" xfId="0" applyFont="1" applyBorder="1" applyAlignment="1">
      <alignment horizontal="center" vertical="center" wrapText="1"/>
    </xf>
    <xf numFmtId="0" fontId="19" fillId="4" borderId="6" xfId="0" applyFont="1" applyFill="1" applyBorder="1" applyAlignment="1">
      <alignment vertical="center"/>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quotePrefix="1">
      <alignment horizontal="left" vertical="center" wrapText="1"/>
    </xf>
    <xf numFmtId="0" fontId="11" fillId="0" borderId="0" xfId="0" applyFont="1" applyBorder="1" applyAlignment="1">
      <alignment horizontal="center" vertical="center" wrapText="1"/>
    </xf>
    <xf numFmtId="0" fontId="33" fillId="0" borderId="0" xfId="0" applyFont="1" applyAlignment="1">
      <alignment vertical="center" wrapText="1"/>
    </xf>
    <xf numFmtId="0" fontId="24" fillId="6" borderId="0" xfId="0" applyFont="1" applyFill="1" applyAlignment="1">
      <alignment vertical="center"/>
    </xf>
    <xf numFmtId="0" fontId="23" fillId="0" borderId="0" xfId="0" applyFont="1" applyAlignment="1" quotePrefix="1">
      <alignment horizontal="center" vertical="center" wrapText="1"/>
    </xf>
    <xf numFmtId="177" fontId="19" fillId="2" borderId="10" xfId="0" applyNumberFormat="1" applyFont="1" applyFill="1" applyBorder="1" applyAlignment="1" applyProtection="1">
      <alignment horizontal="right" vertical="center"/>
      <protection/>
    </xf>
    <xf numFmtId="177" fontId="4" fillId="0" borderId="13" xfId="0" applyNumberFormat="1" applyFont="1" applyBorder="1" applyAlignment="1" applyProtection="1">
      <alignment horizontal="right" vertical="center"/>
      <protection/>
    </xf>
    <xf numFmtId="0" fontId="19" fillId="2" borderId="5" xfId="0" applyFont="1" applyFill="1" applyBorder="1" applyAlignment="1">
      <alignment vertical="center" wrapText="1"/>
    </xf>
    <xf numFmtId="0" fontId="19" fillId="2" borderId="4" xfId="0" applyFont="1" applyFill="1" applyBorder="1" applyAlignment="1">
      <alignment vertical="center" wrapText="1"/>
    </xf>
    <xf numFmtId="0" fontId="19" fillId="2" borderId="9" xfId="0" applyFont="1" applyFill="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12" xfId="0" applyFont="1" applyBorder="1" applyAlignment="1">
      <alignment vertical="center" wrapText="1"/>
    </xf>
    <xf numFmtId="9" fontId="19" fillId="7" borderId="10" xfId="21"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9" fillId="0" borderId="14" xfId="0" applyFont="1" applyBorder="1" applyAlignment="1">
      <alignment vertical="top" wrapText="1"/>
    </xf>
    <xf numFmtId="0" fontId="33" fillId="0" borderId="14" xfId="0" applyFont="1" applyBorder="1" applyAlignment="1">
      <alignment vertical="top" wrapText="1"/>
    </xf>
    <xf numFmtId="0" fontId="4" fillId="0" borderId="14" xfId="0" applyFont="1" applyBorder="1" applyAlignment="1">
      <alignment vertical="top" wrapText="1"/>
    </xf>
    <xf numFmtId="0" fontId="24" fillId="6" borderId="6" xfId="0" applyFont="1" applyFill="1" applyBorder="1" applyAlignment="1" quotePrefix="1">
      <alignment horizontal="left" vertical="center"/>
    </xf>
    <xf numFmtId="0" fontId="19" fillId="2" borderId="5" xfId="0" applyFont="1" applyFill="1" applyBorder="1" applyAlignment="1" quotePrefix="1">
      <alignment horizontal="left" vertical="center" wrapText="1"/>
    </xf>
    <xf numFmtId="0" fontId="35" fillId="6" borderId="10"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0" fillId="4" borderId="6" xfId="0" applyFont="1" applyFill="1" applyBorder="1" applyAlignment="1" applyProtection="1">
      <alignment vertical="center"/>
      <protection locked="0"/>
    </xf>
    <xf numFmtId="0" fontId="30" fillId="4" borderId="7" xfId="0" applyFont="1" applyFill="1" applyBorder="1" applyAlignment="1" applyProtection="1">
      <alignment vertical="center"/>
      <protection locked="0"/>
    </xf>
    <xf numFmtId="0" fontId="30" fillId="4" borderId="8" xfId="0" applyFont="1" applyFill="1" applyBorder="1" applyAlignment="1" applyProtection="1">
      <alignment vertical="center"/>
      <protection locked="0"/>
    </xf>
    <xf numFmtId="3" fontId="19" fillId="0" borderId="6" xfId="0" applyNumberFormat="1" applyFont="1" applyBorder="1" applyAlignment="1">
      <alignment horizontal="center" vertical="center"/>
    </xf>
    <xf numFmtId="3" fontId="19" fillId="0" borderId="7" xfId="0" applyNumberFormat="1" applyFont="1" applyBorder="1" applyAlignment="1">
      <alignment horizontal="center" vertical="center"/>
    </xf>
    <xf numFmtId="3" fontId="19" fillId="0" borderId="8" xfId="0" applyNumberFormat="1" applyFont="1" applyBorder="1" applyAlignment="1">
      <alignment horizontal="center" vertical="center"/>
    </xf>
    <xf numFmtId="0" fontId="35" fillId="6" borderId="10" xfId="0" applyFont="1" applyFill="1" applyBorder="1" applyAlignment="1" quotePrefix="1">
      <alignment horizontal="center" vertical="center" wrapText="1"/>
    </xf>
    <xf numFmtId="0" fontId="18" fillId="0" borderId="1" xfId="0" applyFont="1" applyBorder="1" applyAlignment="1">
      <alignment horizontal="center" vertical="center"/>
    </xf>
    <xf numFmtId="0" fontId="10" fillId="0" borderId="1" xfId="0" applyFont="1" applyBorder="1" applyAlignment="1">
      <alignment horizontal="center" vertical="center"/>
    </xf>
    <xf numFmtId="0" fontId="19" fillId="0" borderId="4" xfId="0" applyFont="1" applyBorder="1" applyAlignment="1" quotePrefix="1">
      <alignment horizontal="left" vertical="center" wrapText="1"/>
    </xf>
    <xf numFmtId="0" fontId="27" fillId="0" borderId="3" xfId="0" applyFont="1" applyBorder="1" applyAlignment="1">
      <alignment vertical="center" wrapText="1"/>
    </xf>
    <xf numFmtId="168" fontId="19" fillId="0" borderId="6" xfId="0" applyNumberFormat="1" applyFont="1" applyBorder="1" applyAlignment="1">
      <alignment horizontal="center" vertical="center"/>
    </xf>
    <xf numFmtId="168" fontId="19" fillId="0" borderId="7" xfId="0" applyNumberFormat="1" applyFont="1" applyBorder="1" applyAlignment="1">
      <alignment horizontal="center" vertical="center"/>
    </xf>
    <xf numFmtId="168" fontId="19" fillId="0" borderId="8" xfId="0" applyNumberFormat="1" applyFont="1" applyBorder="1" applyAlignment="1">
      <alignment horizontal="center" vertical="center"/>
    </xf>
    <xf numFmtId="0" fontId="40" fillId="4" borderId="10"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quotePrefix="1">
      <alignment horizontal="center" vertical="center" wrapText="1"/>
    </xf>
  </cellXfs>
  <cellStyles count="10">
    <cellStyle name="Normal" xfId="0"/>
    <cellStyle name="Hyperlink" xfId="15"/>
    <cellStyle name="Followed Hyperlink" xfId="16"/>
    <cellStyle name="Comma" xfId="17"/>
    <cellStyle name="Comma [0]" xfId="18"/>
    <cellStyle name="Normale_C_benchmark_draft_3_già top down" xfId="19"/>
    <cellStyle name="Normale_ice_tools_wip" xfId="20"/>
    <cellStyle name="Percent" xfId="21"/>
    <cellStyle name="Currency" xfId="22"/>
    <cellStyle name="Currency [0]" xfId="23"/>
  </cellStyles>
  <dxfs count="2">
    <dxf>
      <font>
        <b/>
        <i val="0"/>
        <color rgb="FF960E11"/>
      </font>
      <fill>
        <patternFill>
          <bgColor rgb="FFFF8080"/>
        </patternFill>
      </fill>
      <border/>
    </dxf>
    <dxf>
      <font>
        <color auto="1"/>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1C555"/>
      <rgbColor rgb="00F5E2BE"/>
      <rgbColor rgb="00CCFFFF"/>
      <rgbColor rgb="00660066"/>
      <rgbColor rgb="00FF8080"/>
      <rgbColor rgb="000066CC"/>
      <rgbColor rgb="00CCCCFF"/>
      <rgbColor rgb="00000080"/>
      <rgbColor rgb="00FF00FF"/>
      <rgbColor rgb="00FFFF00"/>
      <rgbColor rgb="0000FFFF"/>
      <rgbColor rgb="00800080"/>
      <rgbColor rgb="00960E1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c:f>
              <c:strCache>
                <c:ptCount val="1"/>
                <c:pt idx="0">
                  <c:v>1</c:v>
                </c:pt>
              </c:strCache>
            </c:strRef>
          </c:cat>
          <c:val>
            <c:numRef>
              <c:f>home!#REF!</c:f>
              <c:numCache>
                <c:ptCount val="1"/>
                <c:pt idx="0">
                  <c:v>1</c:v>
                </c:pt>
              </c:numCache>
            </c:numRef>
          </c:val>
        </c:ser>
        <c:axId val="9620955"/>
        <c:axId val="19479732"/>
      </c:radarChart>
      <c:catAx>
        <c:axId val="962095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9479732"/>
        <c:crosses val="autoZero"/>
        <c:auto val="1"/>
        <c:lblOffset val="100"/>
        <c:noMultiLvlLbl val="0"/>
      </c:catAx>
      <c:valAx>
        <c:axId val="1947973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962095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f>
              <c:strCache>
                <c:ptCount val="1"/>
                <c:pt idx="0">
                  <c:v>1</c:v>
                </c:pt>
              </c:strCache>
            </c:strRef>
          </c:cat>
          <c:val>
            <c:numRef>
              <c:f>contesto!#REF!</c:f>
              <c:numCache>
                <c:ptCount val="1"/>
                <c:pt idx="0">
                  <c:v>1</c:v>
                </c:pt>
              </c:numCache>
            </c:numRef>
          </c:val>
        </c:ser>
        <c:axId val="42904229"/>
        <c:axId val="50593742"/>
      </c:radarChart>
      <c:catAx>
        <c:axId val="4290422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0593742"/>
        <c:crosses val="autoZero"/>
        <c:auto val="1"/>
        <c:lblOffset val="100"/>
        <c:noMultiLvlLbl val="0"/>
      </c:catAx>
      <c:valAx>
        <c:axId val="5059374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429042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f>
              <c:strCache>
                <c:ptCount val="1"/>
                <c:pt idx="0">
                  <c:v>1</c:v>
                </c:pt>
              </c:strCache>
            </c:strRef>
          </c:cat>
          <c:val>
            <c:numRef>
              <c:f>contesto!#REF!</c:f>
              <c:numCache>
                <c:ptCount val="1"/>
                <c:pt idx="0">
                  <c:v>1</c:v>
                </c:pt>
              </c:numCache>
            </c:numRef>
          </c:val>
        </c:ser>
        <c:axId val="52690495"/>
        <c:axId val="4452408"/>
      </c:radarChart>
      <c:catAx>
        <c:axId val="5269049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452408"/>
        <c:crosses val="autoZero"/>
        <c:auto val="1"/>
        <c:lblOffset val="100"/>
        <c:noMultiLvlLbl val="0"/>
      </c:catAx>
      <c:valAx>
        <c:axId val="445240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269049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(contesto!#REF!,contesto!#REF!,contesto!#REF!,contesto!#REF!,contesto!#REF!)</c:f>
              <c:strCache>
                <c:ptCount val="1"/>
                <c:pt idx="0">
                  <c:v>1</c:v>
                </c:pt>
              </c:strCache>
            </c:strRef>
          </c:cat>
          <c:val>
            <c:numRef>
              <c:f>(contesto!#REF!,contesto!#REF!,contesto!#REF!,contesto!#REF!,contesto!#REF!)</c:f>
              <c:numCache>
                <c:ptCount val="1"/>
                <c:pt idx="0">
                  <c:v>1</c:v>
                </c:pt>
              </c:numCache>
            </c:numRef>
          </c:val>
        </c:ser>
        <c:axId val="40071673"/>
        <c:axId val="25100738"/>
      </c:radarChart>
      <c:catAx>
        <c:axId val="4007167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5100738"/>
        <c:crosses val="autoZero"/>
        <c:auto val="1"/>
        <c:lblOffset val="100"/>
        <c:noMultiLvlLbl val="0"/>
      </c:catAx>
      <c:valAx>
        <c:axId val="2510073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400716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a:t>
            </a:r>
          </a:p>
        </c:rich>
      </c:tx>
      <c:layout/>
      <c:spPr>
        <a:noFill/>
        <a:ln>
          <a:noFill/>
        </a:ln>
      </c:spPr>
    </c:title>
    <c:plotArea>
      <c:layout/>
      <c:scatterChart>
        <c:scatterStyle val="lineMarker"/>
        <c:varyColors val="0"/>
        <c:ser>
          <c:idx val="0"/>
          <c:order val="0"/>
          <c:tx>
            <c:strRef>
              <c:f>contesto!#REF!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0"/>
            <c:showBubbleSize val="0"/>
            <c:showCatName val="0"/>
            <c:showSerName val="1"/>
            <c:showPercent val="0"/>
          </c:dLbls>
          <c:xVal>
            <c:numRef>
              <c:f>contesto!$E$23</c:f>
              <c:numCache>
                <c:ptCount val="1"/>
                <c:pt idx="0">
                  <c:v>0</c:v>
                </c:pt>
              </c:numCache>
            </c:numRef>
          </c:xVal>
          <c:yVal>
            <c:numRef>
              <c:f>contesto!#REF!</c:f>
              <c:numCache>
                <c:ptCount val="1"/>
                <c:pt idx="0">
                  <c:v>1</c:v>
                </c:pt>
              </c:numCache>
            </c:numRef>
          </c:yVal>
          <c:smooth val="0"/>
        </c:ser>
        <c:ser>
          <c:idx val="1"/>
          <c:order val="1"/>
          <c:tx>
            <c:strRef>
              <c:f>contesto!#REF!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0"/>
            <c:showBubbleSize val="0"/>
            <c:showCatName val="0"/>
            <c:showSerName val="1"/>
            <c:showPercent val="0"/>
          </c:dLbls>
          <c:xVal>
            <c:strRef>
              <c:f>contesto!#REF!</c:f>
              <c:strCache>
                <c:ptCount val="1"/>
                <c:pt idx="0">
                  <c:v>1</c:v>
                </c:pt>
              </c:strCache>
            </c:strRef>
          </c:xVal>
          <c:yVal>
            <c:numRef>
              <c:f>contesto!#REF!</c:f>
              <c:numCache>
                <c:ptCount val="1"/>
                <c:pt idx="0">
                  <c:v>1</c:v>
                </c:pt>
              </c:numCache>
            </c:numRef>
          </c:yVal>
          <c:smooth val="0"/>
        </c:ser>
        <c:ser>
          <c:idx val="2"/>
          <c:order val="2"/>
          <c:tx>
            <c:strRef>
              <c:f>contesto!#REF!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0"/>
            <c:showBubbleSize val="0"/>
            <c:showCatName val="0"/>
            <c:showSerName val="1"/>
            <c:showPercent val="0"/>
          </c:dLbls>
          <c:xVal>
            <c:strRef>
              <c:f>contesto!#REF!</c:f>
              <c:strCache>
                <c:ptCount val="1"/>
                <c:pt idx="0">
                  <c:v>1</c:v>
                </c:pt>
              </c:strCache>
            </c:strRef>
          </c:xVal>
          <c:yVal>
            <c:numRef>
              <c:f>contesto!#REF!</c:f>
              <c:numCache>
                <c:ptCount val="1"/>
                <c:pt idx="0">
                  <c:v>1</c:v>
                </c:pt>
              </c:numCache>
            </c:numRef>
          </c:yVal>
          <c:smooth val="0"/>
        </c:ser>
        <c:axId val="24580051"/>
        <c:axId val="19893868"/>
      </c:scatterChart>
      <c:valAx>
        <c:axId val="24580051"/>
        <c:scaling>
          <c:orientation val="minMax"/>
        </c:scaling>
        <c:axPos val="b"/>
        <c:title>
          <c:tx>
            <c:rich>
              <a:bodyPr vert="horz" rot="0" anchor="ctr"/>
              <a:lstStyle/>
              <a:p>
                <a:pPr algn="ctr">
                  <a:defRPr/>
                </a:pPr>
                <a:r>
                  <a:rPr lang="en-US" cap="none" sz="150" b="1" i="0" u="none" baseline="0"/>
                  <a:t>overall market</a:t>
                </a:r>
              </a:p>
            </c:rich>
          </c:tx>
          <c:layout/>
          <c:overlay val="0"/>
          <c:spPr>
            <a:noFill/>
            <a:ln>
              <a:noFill/>
            </a:ln>
          </c:spPr>
        </c:title>
        <c:majorGridlines/>
        <c:delete val="0"/>
        <c:numFmt formatCode="General" sourceLinked="1"/>
        <c:majorTickMark val="out"/>
        <c:minorTickMark val="none"/>
        <c:tickLblPos val="nextTo"/>
        <c:crossAx val="19893868"/>
        <c:crosses val="autoZero"/>
        <c:crossBetween val="midCat"/>
        <c:dispUnits/>
      </c:valAx>
      <c:valAx>
        <c:axId val="19893868"/>
        <c:scaling>
          <c:orientation val="minMax"/>
        </c:scaling>
        <c:axPos val="l"/>
        <c:title>
          <c:tx>
            <c:rich>
              <a:bodyPr vert="horz" rot="-5400000" anchor="ctr"/>
              <a:lstStyle/>
              <a:p>
                <a:pPr algn="ctr">
                  <a:defRPr/>
                </a:pPr>
                <a:r>
                  <a:rPr lang="en-US" cap="none" sz="150" b="1" i="0" u="none" baseline="0"/>
                  <a:t>pertinent market</a:t>
                </a:r>
              </a:p>
            </c:rich>
          </c:tx>
          <c:layout/>
          <c:overlay val="0"/>
          <c:spPr>
            <a:noFill/>
            <a:ln>
              <a:noFill/>
            </a:ln>
          </c:spPr>
        </c:title>
        <c:majorGridlines/>
        <c:delete val="0"/>
        <c:numFmt formatCode="General" sourceLinked="1"/>
        <c:majorTickMark val="out"/>
        <c:minorTickMark val="none"/>
        <c:tickLblPos val="nextTo"/>
        <c:crossAx val="245800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 market (interno) e pertinent (esterno)</a:t>
            </a:r>
          </a:p>
        </c:rich>
      </c:tx>
      <c:layout/>
      <c:spPr>
        <a:noFill/>
        <a:ln>
          <a:noFill/>
        </a:ln>
      </c:spPr>
    </c:title>
    <c:plotArea>
      <c:layout/>
      <c:doughnutChart>
        <c:varyColors val="1"/>
        <c:ser>
          <c:idx val="0"/>
          <c:order val="0"/>
          <c:tx>
            <c:strRef>
              <c:f>contesto!#REF!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contesto!#REF!</c:f>
              <c:strCache>
                <c:ptCount val="1"/>
                <c:pt idx="0">
                  <c:v>1</c:v>
                </c:pt>
              </c:strCache>
            </c:strRef>
          </c:cat>
          <c:val>
            <c:numRef>
              <c:f>contesto!#REF!</c:f>
              <c:numCache>
                <c:ptCount val="1"/>
                <c:pt idx="0">
                  <c:v>1</c:v>
                </c:pt>
              </c:numCache>
            </c:numRef>
          </c:val>
        </c:ser>
        <c:ser>
          <c:idx val="1"/>
          <c:order val="1"/>
          <c:tx>
            <c:strRef>
              <c:f>contesto!#REF!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contesto!#REF!</c:f>
              <c:strCache>
                <c:ptCount val="1"/>
                <c:pt idx="0">
                  <c:v>1</c:v>
                </c:pt>
              </c:strCache>
            </c:strRef>
          </c:cat>
          <c:val>
            <c:numRef>
              <c:f>contesto!#REF!</c:f>
              <c:numCache>
                <c:ptCount val="1"/>
                <c:pt idx="0">
                  <c:v>1</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15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c:f>
              <c:strCache>
                <c:ptCount val="1"/>
                <c:pt idx="0">
                  <c:v>1</c:v>
                </c:pt>
              </c:strCache>
            </c:strRef>
          </c:cat>
          <c:val>
            <c:numRef>
              <c:f>scelta!#REF!</c:f>
              <c:numCache>
                <c:ptCount val="1"/>
                <c:pt idx="0">
                  <c:v>1</c:v>
                </c:pt>
              </c:numCache>
            </c:numRef>
          </c:val>
        </c:ser>
        <c:axId val="44827085"/>
        <c:axId val="790582"/>
      </c:radarChart>
      <c:catAx>
        <c:axId val="4482708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90582"/>
        <c:crosses val="autoZero"/>
        <c:auto val="1"/>
        <c:lblOffset val="100"/>
        <c:noMultiLvlLbl val="0"/>
      </c:catAx>
      <c:valAx>
        <c:axId val="79058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448270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c:f>
              <c:strCache>
                <c:ptCount val="1"/>
                <c:pt idx="0">
                  <c:v>1</c:v>
                </c:pt>
              </c:strCache>
            </c:strRef>
          </c:cat>
          <c:val>
            <c:numRef>
              <c:f>scelta!#REF!</c:f>
              <c:numCache>
                <c:ptCount val="1"/>
                <c:pt idx="0">
                  <c:v>1</c:v>
                </c:pt>
              </c:numCache>
            </c:numRef>
          </c:val>
        </c:ser>
        <c:axId val="7115239"/>
        <c:axId val="64037152"/>
      </c:radarChart>
      <c:catAx>
        <c:axId val="711523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4037152"/>
        <c:crosses val="autoZero"/>
        <c:auto val="1"/>
        <c:lblOffset val="100"/>
        <c:noMultiLvlLbl val="0"/>
      </c:catAx>
      <c:valAx>
        <c:axId val="6403715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71152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c:f>
              <c:strCache>
                <c:ptCount val="1"/>
                <c:pt idx="0">
                  <c:v>1</c:v>
                </c:pt>
              </c:strCache>
            </c:strRef>
          </c:cat>
          <c:val>
            <c:numRef>
              <c:f>scelta!#REF!</c:f>
              <c:numCache>
                <c:ptCount val="1"/>
                <c:pt idx="0">
                  <c:v>1</c:v>
                </c:pt>
              </c:numCache>
            </c:numRef>
          </c:val>
        </c:ser>
        <c:axId val="39463457"/>
        <c:axId val="19626794"/>
      </c:radarChart>
      <c:catAx>
        <c:axId val="3946345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9626794"/>
        <c:crosses val="autoZero"/>
        <c:auto val="1"/>
        <c:lblOffset val="100"/>
        <c:noMultiLvlLbl val="0"/>
      </c:catAx>
      <c:valAx>
        <c:axId val="1962679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394634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c:f>
              <c:strCache>
                <c:ptCount val="1"/>
                <c:pt idx="0">
                  <c:v>1</c:v>
                </c:pt>
              </c:strCache>
            </c:strRef>
          </c:cat>
          <c:val>
            <c:numRef>
              <c:f>scelta!#REF!</c:f>
              <c:numCache>
                <c:ptCount val="1"/>
                <c:pt idx="0">
                  <c:v>1</c:v>
                </c:pt>
              </c:numCache>
            </c:numRef>
          </c:val>
        </c:ser>
        <c:axId val="42423419"/>
        <c:axId val="46266452"/>
      </c:radarChart>
      <c:catAx>
        <c:axId val="4242341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6266452"/>
        <c:crosses val="autoZero"/>
        <c:auto val="1"/>
        <c:lblOffset val="100"/>
        <c:noMultiLvlLbl val="0"/>
      </c:catAx>
      <c:valAx>
        <c:axId val="4626645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4242341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c:f>
              <c:strCache>
                <c:ptCount val="1"/>
                <c:pt idx="0">
                  <c:v>1</c:v>
                </c:pt>
              </c:strCache>
            </c:strRef>
          </c:cat>
          <c:val>
            <c:numRef>
              <c:f>scelta!#REF!</c:f>
              <c:numCache>
                <c:ptCount val="1"/>
                <c:pt idx="0">
                  <c:v>1</c:v>
                </c:pt>
              </c:numCache>
            </c:numRef>
          </c:val>
        </c:ser>
        <c:axId val="13744885"/>
        <c:axId val="56595102"/>
      </c:radarChart>
      <c:catAx>
        <c:axId val="1374488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6595102"/>
        <c:crosses val="autoZero"/>
        <c:auto val="1"/>
        <c:lblOffset val="100"/>
        <c:noMultiLvlLbl val="0"/>
      </c:catAx>
      <c:valAx>
        <c:axId val="5659510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137448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c:f>
              <c:strCache>
                <c:ptCount val="1"/>
                <c:pt idx="0">
                  <c:v>1</c:v>
                </c:pt>
              </c:strCache>
            </c:strRef>
          </c:cat>
          <c:val>
            <c:numRef>
              <c:f>home!#REF!</c:f>
              <c:numCache>
                <c:ptCount val="1"/>
                <c:pt idx="0">
                  <c:v>1</c:v>
                </c:pt>
              </c:numCache>
            </c:numRef>
          </c:val>
        </c:ser>
        <c:axId val="41099861"/>
        <c:axId val="34354430"/>
      </c:radarChart>
      <c:catAx>
        <c:axId val="4109986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4354430"/>
        <c:crosses val="autoZero"/>
        <c:auto val="1"/>
        <c:lblOffset val="100"/>
        <c:noMultiLvlLbl val="0"/>
      </c:catAx>
      <c:valAx>
        <c:axId val="3435443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410998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(scelta!#REF!,scelta!#REF!,scelta!#REF!,scelta!#REF!,scelta!#REF!)</c:f>
              <c:strCache>
                <c:ptCount val="1"/>
                <c:pt idx="0">
                  <c:v>1</c:v>
                </c:pt>
              </c:strCache>
            </c:strRef>
          </c:cat>
          <c:val>
            <c:numRef>
              <c:f>(scelta!#REF!,scelta!#REF!,scelta!#REF!,scelta!#REF!,scelta!#REF!)</c:f>
              <c:numCache>
                <c:ptCount val="1"/>
                <c:pt idx="0">
                  <c:v>1</c:v>
                </c:pt>
              </c:numCache>
            </c:numRef>
          </c:val>
        </c:ser>
        <c:axId val="39593871"/>
        <c:axId val="20800520"/>
      </c:radarChart>
      <c:catAx>
        <c:axId val="3959387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0800520"/>
        <c:crosses val="autoZero"/>
        <c:auto val="1"/>
        <c:lblOffset val="100"/>
        <c:noMultiLvlLbl val="0"/>
      </c:catAx>
      <c:valAx>
        <c:axId val="2080052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3959387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c:f>
              <c:strCache>
                <c:ptCount val="1"/>
                <c:pt idx="0">
                  <c:v>1</c:v>
                </c:pt>
              </c:strCache>
            </c:strRef>
          </c:cat>
          <c:val>
            <c:numRef>
              <c:f>bottom_up!#REF!</c:f>
              <c:numCache>
                <c:ptCount val="1"/>
                <c:pt idx="0">
                  <c:v>1</c:v>
                </c:pt>
              </c:numCache>
            </c:numRef>
          </c:val>
        </c:ser>
        <c:axId val="52986953"/>
        <c:axId val="7120530"/>
      </c:radarChart>
      <c:catAx>
        <c:axId val="5298695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120530"/>
        <c:crosses val="autoZero"/>
        <c:auto val="1"/>
        <c:lblOffset val="100"/>
        <c:noMultiLvlLbl val="0"/>
      </c:catAx>
      <c:valAx>
        <c:axId val="712053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529869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c:f>
              <c:strCache>
                <c:ptCount val="1"/>
                <c:pt idx="0">
                  <c:v>1</c:v>
                </c:pt>
              </c:strCache>
            </c:strRef>
          </c:cat>
          <c:val>
            <c:numRef>
              <c:f>bottom_up!#REF!</c:f>
              <c:numCache>
                <c:ptCount val="1"/>
                <c:pt idx="0">
                  <c:v>1</c:v>
                </c:pt>
              </c:numCache>
            </c:numRef>
          </c:val>
        </c:ser>
        <c:axId val="64084771"/>
        <c:axId val="39892028"/>
      </c:radarChart>
      <c:catAx>
        <c:axId val="6408477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9892028"/>
        <c:crosses val="autoZero"/>
        <c:auto val="1"/>
        <c:lblOffset val="100"/>
        <c:noMultiLvlLbl val="0"/>
      </c:catAx>
      <c:valAx>
        <c:axId val="3989202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6408477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c:f>
              <c:strCache>
                <c:ptCount val="1"/>
                <c:pt idx="0">
                  <c:v>1</c:v>
                </c:pt>
              </c:strCache>
            </c:strRef>
          </c:cat>
          <c:val>
            <c:numRef>
              <c:f>bottom_up!#REF!</c:f>
              <c:numCache>
                <c:ptCount val="1"/>
                <c:pt idx="0">
                  <c:v>1</c:v>
                </c:pt>
              </c:numCache>
            </c:numRef>
          </c:val>
        </c:ser>
        <c:axId val="23483933"/>
        <c:axId val="10028806"/>
      </c:radarChart>
      <c:catAx>
        <c:axId val="2348393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0028806"/>
        <c:crosses val="autoZero"/>
        <c:auto val="1"/>
        <c:lblOffset val="100"/>
        <c:noMultiLvlLbl val="0"/>
      </c:catAx>
      <c:valAx>
        <c:axId val="1002880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2348393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c:f>
              <c:strCache>
                <c:ptCount val="1"/>
                <c:pt idx="0">
                  <c:v>1</c:v>
                </c:pt>
              </c:strCache>
            </c:strRef>
          </c:cat>
          <c:val>
            <c:numRef>
              <c:f>bottom_up!#REF!</c:f>
              <c:numCache>
                <c:ptCount val="1"/>
                <c:pt idx="0">
                  <c:v>1</c:v>
                </c:pt>
              </c:numCache>
            </c:numRef>
          </c:val>
        </c:ser>
        <c:axId val="23150391"/>
        <c:axId val="7026928"/>
      </c:radarChart>
      <c:catAx>
        <c:axId val="2315039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026928"/>
        <c:crosses val="autoZero"/>
        <c:auto val="1"/>
        <c:lblOffset val="100"/>
        <c:noMultiLvlLbl val="0"/>
      </c:catAx>
      <c:valAx>
        <c:axId val="702692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231503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c:f>
              <c:strCache>
                <c:ptCount val="1"/>
                <c:pt idx="0">
                  <c:v>1</c:v>
                </c:pt>
              </c:strCache>
            </c:strRef>
          </c:cat>
          <c:val>
            <c:numRef>
              <c:f>bottom_up!#REF!</c:f>
              <c:numCache>
                <c:ptCount val="1"/>
                <c:pt idx="0">
                  <c:v>1</c:v>
                </c:pt>
              </c:numCache>
            </c:numRef>
          </c:val>
        </c:ser>
        <c:axId val="63242353"/>
        <c:axId val="32310266"/>
      </c:radarChart>
      <c:catAx>
        <c:axId val="6324235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2310266"/>
        <c:crosses val="autoZero"/>
        <c:auto val="1"/>
        <c:lblOffset val="100"/>
        <c:noMultiLvlLbl val="0"/>
      </c:catAx>
      <c:valAx>
        <c:axId val="3231026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632423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(bottom_up!#REF!,bottom_up!#REF!,bottom_up!#REF!,bottom_up!#REF!,bottom_up!#REF!)</c:f>
              <c:strCache>
                <c:ptCount val="1"/>
                <c:pt idx="0">
                  <c:v>1</c:v>
                </c:pt>
              </c:strCache>
            </c:strRef>
          </c:cat>
          <c:val>
            <c:numRef>
              <c:f>(bottom_up!#REF!,bottom_up!#REF!,bottom_up!#REF!,bottom_up!#REF!,bottom_up!#REF!)</c:f>
              <c:numCache>
                <c:ptCount val="1"/>
                <c:pt idx="0">
                  <c:v>1</c:v>
                </c:pt>
              </c:numCache>
            </c:numRef>
          </c:val>
        </c:ser>
        <c:axId val="22356939"/>
        <c:axId val="66994724"/>
      </c:radarChart>
      <c:catAx>
        <c:axId val="2235693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6994724"/>
        <c:crosses val="autoZero"/>
        <c:auto val="1"/>
        <c:lblOffset val="100"/>
        <c:noMultiLvlLbl val="0"/>
      </c:catAx>
      <c:valAx>
        <c:axId val="6699472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23569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a:t>
            </a:r>
          </a:p>
        </c:rich>
      </c:tx>
      <c:layout/>
      <c:spPr>
        <a:noFill/>
        <a:ln>
          <a:noFill/>
        </a:ln>
      </c:spPr>
    </c:title>
    <c:plotArea>
      <c:layout/>
      <c:scatterChart>
        <c:scatterStyle val="lineMarker"/>
        <c:varyColors val="0"/>
        <c:ser>
          <c:idx val="0"/>
          <c:order val="0"/>
          <c:tx>
            <c:strRef>
              <c:f>bottom_up!#REF!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0"/>
            <c:showBubbleSize val="0"/>
            <c:showCatName val="0"/>
            <c:showSerName val="1"/>
            <c:showPercent val="0"/>
          </c:dLbls>
          <c:xVal>
            <c:strRef>
              <c:f>bottom_up!$F$47</c:f>
              <c:strCache/>
            </c:strRef>
          </c:xVal>
          <c:yVal>
            <c:numRef>
              <c:f>bottom_up!$F$69</c:f>
              <c:numCache>
                <c:ptCount val="1"/>
                <c:pt idx="0">
                  <c:v>0</c:v>
                </c:pt>
              </c:numCache>
            </c:numRef>
          </c:yVal>
          <c:smooth val="0"/>
        </c:ser>
        <c:ser>
          <c:idx val="1"/>
          <c:order val="1"/>
          <c:tx>
            <c:strRef>
              <c:f>bottom_up!#REF!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0"/>
            <c:showBubbleSize val="0"/>
            <c:showCatName val="0"/>
            <c:showSerName val="1"/>
            <c:showPercent val="0"/>
          </c:dLbls>
          <c:xVal>
            <c:strRef>
              <c:f>bottom_up!$G$47</c:f>
              <c:strCache/>
            </c:strRef>
          </c:xVal>
          <c:yVal>
            <c:numRef>
              <c:f>bottom_up!$G$69</c:f>
              <c:numCache>
                <c:ptCount val="1"/>
                <c:pt idx="0">
                  <c:v>0</c:v>
                </c:pt>
              </c:numCache>
            </c:numRef>
          </c:yVal>
          <c:smooth val="0"/>
        </c:ser>
        <c:ser>
          <c:idx val="2"/>
          <c:order val="2"/>
          <c:tx>
            <c:strRef>
              <c:f>bottom_up!#REF!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0"/>
            <c:showBubbleSize val="0"/>
            <c:showCatName val="0"/>
            <c:showSerName val="1"/>
            <c:showPercent val="0"/>
          </c:dLbls>
          <c:xVal>
            <c:strRef>
              <c:f>bottom_up!$H$47</c:f>
              <c:strCache/>
            </c:strRef>
          </c:xVal>
          <c:yVal>
            <c:numRef>
              <c:f>bottom_up!$H$69</c:f>
              <c:numCache>
                <c:ptCount val="1"/>
                <c:pt idx="0">
                  <c:v>0</c:v>
                </c:pt>
              </c:numCache>
            </c:numRef>
          </c:yVal>
          <c:smooth val="0"/>
        </c:ser>
        <c:axId val="66081605"/>
        <c:axId val="57863534"/>
      </c:scatterChart>
      <c:valAx>
        <c:axId val="66081605"/>
        <c:scaling>
          <c:orientation val="minMax"/>
        </c:scaling>
        <c:axPos val="b"/>
        <c:title>
          <c:tx>
            <c:rich>
              <a:bodyPr vert="horz" rot="0" anchor="ctr"/>
              <a:lstStyle/>
              <a:p>
                <a:pPr algn="ctr">
                  <a:defRPr/>
                </a:pPr>
                <a:r>
                  <a:rPr lang="en-US" cap="none" sz="150" b="1" i="0" u="none" baseline="0"/>
                  <a:t>overall market</a:t>
                </a:r>
              </a:p>
            </c:rich>
          </c:tx>
          <c:layout/>
          <c:overlay val="0"/>
          <c:spPr>
            <a:noFill/>
            <a:ln>
              <a:noFill/>
            </a:ln>
          </c:spPr>
        </c:title>
        <c:majorGridlines/>
        <c:delete val="0"/>
        <c:numFmt formatCode="General" sourceLinked="1"/>
        <c:majorTickMark val="out"/>
        <c:minorTickMark val="none"/>
        <c:tickLblPos val="nextTo"/>
        <c:crossAx val="57863534"/>
        <c:crosses val="autoZero"/>
        <c:crossBetween val="midCat"/>
        <c:dispUnits/>
      </c:valAx>
      <c:valAx>
        <c:axId val="57863534"/>
        <c:scaling>
          <c:orientation val="minMax"/>
        </c:scaling>
        <c:axPos val="l"/>
        <c:title>
          <c:tx>
            <c:rich>
              <a:bodyPr vert="horz" rot="-5400000" anchor="ctr"/>
              <a:lstStyle/>
              <a:p>
                <a:pPr algn="ctr">
                  <a:defRPr/>
                </a:pPr>
                <a:r>
                  <a:rPr lang="en-US" cap="none" sz="150" b="1" i="0" u="none" baseline="0"/>
                  <a:t>pertinent market</a:t>
                </a:r>
              </a:p>
            </c:rich>
          </c:tx>
          <c:layout/>
          <c:overlay val="0"/>
          <c:spPr>
            <a:noFill/>
            <a:ln>
              <a:noFill/>
            </a:ln>
          </c:spPr>
        </c:title>
        <c:majorGridlines/>
        <c:delete val="0"/>
        <c:numFmt formatCode="General" sourceLinked="1"/>
        <c:majorTickMark val="out"/>
        <c:minorTickMark val="none"/>
        <c:tickLblPos val="nextTo"/>
        <c:crossAx val="6608160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 market (interno) e pertinent (esterno)</a:t>
            </a:r>
          </a:p>
        </c:rich>
      </c:tx>
      <c:layout/>
      <c:spPr>
        <a:noFill/>
        <a:ln>
          <a:noFill/>
        </a:ln>
      </c:spPr>
    </c:title>
    <c:plotArea>
      <c:layout/>
      <c:doughnutChart>
        <c:varyColors val="1"/>
        <c:ser>
          <c:idx val="0"/>
          <c:order val="0"/>
          <c:tx>
            <c:strRef>
              <c:f>bottom_up!#REF!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bottom_up!#REF!</c:f>
              <c:strCache>
                <c:ptCount val="1"/>
                <c:pt idx="0">
                  <c:v>1</c:v>
                </c:pt>
              </c:strCache>
            </c:strRef>
          </c:cat>
          <c:val>
            <c:numRef>
              <c:f>bottom_up!#REF!</c:f>
              <c:numCache>
                <c:ptCount val="1"/>
                <c:pt idx="0">
                  <c:v>1</c:v>
                </c:pt>
              </c:numCache>
            </c:numRef>
          </c:val>
        </c:ser>
        <c:ser>
          <c:idx val="1"/>
          <c:order val="1"/>
          <c:tx>
            <c:strRef>
              <c:f>bottom_up!#REF!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bottom_up!#REF!</c:f>
              <c:strCache>
                <c:ptCount val="1"/>
                <c:pt idx="0">
                  <c:v>1</c:v>
                </c:pt>
              </c:strCache>
            </c:strRef>
          </c:cat>
          <c:val>
            <c:numRef>
              <c:f>bottom_up!#REF!</c:f>
              <c:numCache>
                <c:ptCount val="1"/>
                <c:pt idx="0">
                  <c:v>1</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15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c:f>
              <c:strCache>
                <c:ptCount val="1"/>
                <c:pt idx="0">
                  <c:v>1</c:v>
                </c:pt>
              </c:strCache>
            </c:strRef>
          </c:cat>
          <c:val>
            <c:numRef>
              <c:f>benchmark!#REF!</c:f>
              <c:numCache>
                <c:ptCount val="1"/>
                <c:pt idx="0">
                  <c:v>1</c:v>
                </c:pt>
              </c:numCache>
            </c:numRef>
          </c:val>
        </c:ser>
        <c:axId val="51009759"/>
        <c:axId val="56434648"/>
      </c:radarChart>
      <c:catAx>
        <c:axId val="5100975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6434648"/>
        <c:crosses val="autoZero"/>
        <c:auto val="1"/>
        <c:lblOffset val="100"/>
        <c:noMultiLvlLbl val="0"/>
      </c:catAx>
      <c:valAx>
        <c:axId val="5643464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510097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c:f>
              <c:strCache>
                <c:ptCount val="1"/>
                <c:pt idx="0">
                  <c:v>1</c:v>
                </c:pt>
              </c:strCache>
            </c:strRef>
          </c:cat>
          <c:val>
            <c:numRef>
              <c:f>home!#REF!</c:f>
              <c:numCache>
                <c:ptCount val="1"/>
                <c:pt idx="0">
                  <c:v>1</c:v>
                </c:pt>
              </c:numCache>
            </c:numRef>
          </c:val>
        </c:ser>
        <c:axId val="40754415"/>
        <c:axId val="31245416"/>
      </c:radarChart>
      <c:catAx>
        <c:axId val="4075441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1245416"/>
        <c:crosses val="autoZero"/>
        <c:auto val="1"/>
        <c:lblOffset val="100"/>
        <c:noMultiLvlLbl val="0"/>
      </c:catAx>
      <c:valAx>
        <c:axId val="3124541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4075441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c:f>
              <c:strCache>
                <c:ptCount val="1"/>
                <c:pt idx="0">
                  <c:v>1</c:v>
                </c:pt>
              </c:strCache>
            </c:strRef>
          </c:cat>
          <c:val>
            <c:numRef>
              <c:f>benchmark!#REF!</c:f>
              <c:numCache>
                <c:ptCount val="1"/>
                <c:pt idx="0">
                  <c:v>1</c:v>
                </c:pt>
              </c:numCache>
            </c:numRef>
          </c:val>
        </c:ser>
        <c:axId val="38149785"/>
        <c:axId val="7803746"/>
      </c:radarChart>
      <c:catAx>
        <c:axId val="3814978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803746"/>
        <c:crosses val="autoZero"/>
        <c:auto val="1"/>
        <c:lblOffset val="100"/>
        <c:noMultiLvlLbl val="0"/>
      </c:catAx>
      <c:valAx>
        <c:axId val="780374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381497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c:f>
              <c:strCache>
                <c:ptCount val="1"/>
                <c:pt idx="0">
                  <c:v>1</c:v>
                </c:pt>
              </c:strCache>
            </c:strRef>
          </c:cat>
          <c:val>
            <c:numRef>
              <c:f>benchmark!#REF!</c:f>
              <c:numCache>
                <c:ptCount val="1"/>
                <c:pt idx="0">
                  <c:v>1</c:v>
                </c:pt>
              </c:numCache>
            </c:numRef>
          </c:val>
        </c:ser>
        <c:axId val="3124851"/>
        <c:axId val="28123660"/>
      </c:radarChart>
      <c:catAx>
        <c:axId val="312485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8123660"/>
        <c:crosses val="autoZero"/>
        <c:auto val="1"/>
        <c:lblOffset val="100"/>
        <c:noMultiLvlLbl val="0"/>
      </c:catAx>
      <c:valAx>
        <c:axId val="2812366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31248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c:f>
              <c:strCache>
                <c:ptCount val="1"/>
                <c:pt idx="0">
                  <c:v>1</c:v>
                </c:pt>
              </c:strCache>
            </c:strRef>
          </c:cat>
          <c:val>
            <c:numRef>
              <c:f>benchmark!#REF!</c:f>
              <c:numCache>
                <c:ptCount val="1"/>
                <c:pt idx="0">
                  <c:v>1</c:v>
                </c:pt>
              </c:numCache>
            </c:numRef>
          </c:val>
        </c:ser>
        <c:axId val="51786349"/>
        <c:axId val="63423958"/>
      </c:radarChart>
      <c:catAx>
        <c:axId val="5178634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3423958"/>
        <c:crosses val="autoZero"/>
        <c:auto val="1"/>
        <c:lblOffset val="100"/>
        <c:noMultiLvlLbl val="0"/>
      </c:catAx>
      <c:valAx>
        <c:axId val="6342395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17863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c:f>
              <c:strCache>
                <c:ptCount val="1"/>
                <c:pt idx="0">
                  <c:v>1</c:v>
                </c:pt>
              </c:strCache>
            </c:strRef>
          </c:cat>
          <c:val>
            <c:numRef>
              <c:f>benchmark!#REF!</c:f>
              <c:numCache>
                <c:ptCount val="1"/>
                <c:pt idx="0">
                  <c:v>1</c:v>
                </c:pt>
              </c:numCache>
            </c:numRef>
          </c:val>
        </c:ser>
        <c:axId val="33944711"/>
        <c:axId val="37066944"/>
      </c:radarChart>
      <c:catAx>
        <c:axId val="3394471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7066944"/>
        <c:crosses val="autoZero"/>
        <c:auto val="1"/>
        <c:lblOffset val="100"/>
        <c:noMultiLvlLbl val="0"/>
      </c:catAx>
      <c:valAx>
        <c:axId val="3706694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339447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(benchmark!#REF!,benchmark!#REF!,benchmark!#REF!,benchmark!#REF!,benchmark!#REF!)</c:f>
              <c:strCache>
                <c:ptCount val="1"/>
                <c:pt idx="0">
                  <c:v>1</c:v>
                </c:pt>
              </c:strCache>
            </c:strRef>
          </c:cat>
          <c:val>
            <c:numRef>
              <c:f>(benchmark!#REF!,benchmark!#REF!,benchmark!#REF!,benchmark!#REF!,benchmark!#REF!)</c:f>
              <c:numCache>
                <c:ptCount val="1"/>
                <c:pt idx="0">
                  <c:v>1</c:v>
                </c:pt>
              </c:numCache>
            </c:numRef>
          </c:val>
        </c:ser>
        <c:axId val="65167041"/>
        <c:axId val="49632458"/>
      </c:radarChart>
      <c:catAx>
        <c:axId val="6516704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9632458"/>
        <c:crosses val="autoZero"/>
        <c:auto val="1"/>
        <c:lblOffset val="100"/>
        <c:noMultiLvlLbl val="0"/>
      </c:catAx>
      <c:valAx>
        <c:axId val="4963245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51670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c:f>
              <c:strCache>
                <c:ptCount val="1"/>
                <c:pt idx="0">
                  <c:v>1</c:v>
                </c:pt>
              </c:strCache>
            </c:strRef>
          </c:cat>
          <c:val>
            <c:numRef>
              <c:f>top_down!#REF!</c:f>
              <c:numCache>
                <c:ptCount val="1"/>
                <c:pt idx="0">
                  <c:v>1</c:v>
                </c:pt>
              </c:numCache>
            </c:numRef>
          </c:val>
        </c:ser>
        <c:axId val="44038939"/>
        <c:axId val="60806132"/>
      </c:radarChart>
      <c:catAx>
        <c:axId val="4403893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0806132"/>
        <c:crosses val="autoZero"/>
        <c:auto val="1"/>
        <c:lblOffset val="100"/>
        <c:noMultiLvlLbl val="0"/>
      </c:catAx>
      <c:valAx>
        <c:axId val="6080613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440389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c:f>
              <c:strCache>
                <c:ptCount val="1"/>
                <c:pt idx="0">
                  <c:v>1</c:v>
                </c:pt>
              </c:strCache>
            </c:strRef>
          </c:cat>
          <c:val>
            <c:numRef>
              <c:f>top_down!#REF!</c:f>
              <c:numCache>
                <c:ptCount val="1"/>
                <c:pt idx="0">
                  <c:v>1</c:v>
                </c:pt>
              </c:numCache>
            </c:numRef>
          </c:val>
        </c:ser>
        <c:axId val="10384277"/>
        <c:axId val="26349630"/>
      </c:radarChart>
      <c:catAx>
        <c:axId val="1038427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6349630"/>
        <c:crosses val="autoZero"/>
        <c:auto val="1"/>
        <c:lblOffset val="100"/>
        <c:noMultiLvlLbl val="0"/>
      </c:catAx>
      <c:valAx>
        <c:axId val="2634963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1038427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c:f>
              <c:strCache>
                <c:ptCount val="1"/>
                <c:pt idx="0">
                  <c:v>1</c:v>
                </c:pt>
              </c:strCache>
            </c:strRef>
          </c:cat>
          <c:val>
            <c:numRef>
              <c:f>top_down!#REF!</c:f>
              <c:numCache>
                <c:ptCount val="1"/>
                <c:pt idx="0">
                  <c:v>1</c:v>
                </c:pt>
              </c:numCache>
            </c:numRef>
          </c:val>
        </c:ser>
        <c:axId val="35820079"/>
        <c:axId val="53945256"/>
      </c:radarChart>
      <c:catAx>
        <c:axId val="3582007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3945256"/>
        <c:crosses val="autoZero"/>
        <c:auto val="1"/>
        <c:lblOffset val="100"/>
        <c:noMultiLvlLbl val="0"/>
      </c:catAx>
      <c:valAx>
        <c:axId val="5394525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3582007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c:f>
              <c:strCache>
                <c:ptCount val="1"/>
                <c:pt idx="0">
                  <c:v>1</c:v>
                </c:pt>
              </c:strCache>
            </c:strRef>
          </c:cat>
          <c:val>
            <c:numRef>
              <c:f>top_down!#REF!</c:f>
              <c:numCache>
                <c:ptCount val="1"/>
                <c:pt idx="0">
                  <c:v>1</c:v>
                </c:pt>
              </c:numCache>
            </c:numRef>
          </c:val>
        </c:ser>
        <c:axId val="15745257"/>
        <c:axId val="7489586"/>
      </c:radarChart>
      <c:catAx>
        <c:axId val="1574525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489586"/>
        <c:crosses val="autoZero"/>
        <c:auto val="1"/>
        <c:lblOffset val="100"/>
        <c:noMultiLvlLbl val="0"/>
      </c:catAx>
      <c:valAx>
        <c:axId val="748958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157452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c:f>
              <c:strCache>
                <c:ptCount val="1"/>
                <c:pt idx="0">
                  <c:v>1</c:v>
                </c:pt>
              </c:strCache>
            </c:strRef>
          </c:cat>
          <c:val>
            <c:numRef>
              <c:f>top_down!#REF!</c:f>
              <c:numCache>
                <c:ptCount val="1"/>
                <c:pt idx="0">
                  <c:v>1</c:v>
                </c:pt>
              </c:numCache>
            </c:numRef>
          </c:val>
        </c:ser>
        <c:axId val="297411"/>
        <c:axId val="2676700"/>
      </c:radarChart>
      <c:catAx>
        <c:axId val="29741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676700"/>
        <c:crosses val="autoZero"/>
        <c:auto val="1"/>
        <c:lblOffset val="100"/>
        <c:noMultiLvlLbl val="0"/>
      </c:catAx>
      <c:valAx>
        <c:axId val="267670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2974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c:f>
              <c:strCache>
                <c:ptCount val="1"/>
                <c:pt idx="0">
                  <c:v>1</c:v>
                </c:pt>
              </c:strCache>
            </c:strRef>
          </c:cat>
          <c:val>
            <c:numRef>
              <c:f>home!#REF!</c:f>
              <c:numCache>
                <c:ptCount val="1"/>
                <c:pt idx="0">
                  <c:v>1</c:v>
                </c:pt>
              </c:numCache>
            </c:numRef>
          </c:val>
        </c:ser>
        <c:axId val="12773289"/>
        <c:axId val="47850738"/>
      </c:radarChart>
      <c:catAx>
        <c:axId val="1277328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7850738"/>
        <c:crosses val="autoZero"/>
        <c:auto val="1"/>
        <c:lblOffset val="100"/>
        <c:noMultiLvlLbl val="0"/>
      </c:catAx>
      <c:valAx>
        <c:axId val="4785073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127732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(top_down!#REF!,top_down!#REF!,top_down!#REF!,top_down!#REF!,top_down!#REF!)</c:f>
              <c:strCache>
                <c:ptCount val="1"/>
                <c:pt idx="0">
                  <c:v>1</c:v>
                </c:pt>
              </c:strCache>
            </c:strRef>
          </c:cat>
          <c:val>
            <c:numRef>
              <c:f>(top_down!#REF!,top_down!#REF!,top_down!#REF!,top_down!#REF!,top_down!#REF!)</c:f>
              <c:numCache>
                <c:ptCount val="1"/>
                <c:pt idx="0">
                  <c:v>1</c:v>
                </c:pt>
              </c:numCache>
            </c:numRef>
          </c:val>
        </c:ser>
        <c:axId val="24090301"/>
        <c:axId val="15486118"/>
      </c:radarChart>
      <c:catAx>
        <c:axId val="2409030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5486118"/>
        <c:crosses val="autoZero"/>
        <c:auto val="1"/>
        <c:lblOffset val="100"/>
        <c:noMultiLvlLbl val="0"/>
      </c:catAx>
      <c:valAx>
        <c:axId val="1548611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40903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a:t>
            </a:r>
          </a:p>
        </c:rich>
      </c:tx>
      <c:layout/>
      <c:spPr>
        <a:noFill/>
        <a:ln>
          <a:noFill/>
        </a:ln>
      </c:spPr>
    </c:title>
    <c:plotArea>
      <c:layout/>
      <c:scatterChart>
        <c:scatterStyle val="lineMarker"/>
        <c:varyColors val="0"/>
        <c:ser>
          <c:idx val="0"/>
          <c:order val="0"/>
          <c:tx>
            <c:strRef>
              <c:f>top_down!#REF!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0"/>
            <c:showBubbleSize val="0"/>
            <c:showCatName val="0"/>
            <c:showSerName val="1"/>
            <c:showPercent val="0"/>
          </c:dLbls>
          <c:xVal>
            <c:numRef>
              <c:f>top_down!$F$48</c:f>
              <c:numCache>
                <c:ptCount val="1"/>
                <c:pt idx="0">
                  <c:v>0</c:v>
                </c:pt>
              </c:numCache>
            </c:numRef>
          </c:xVal>
          <c:yVal>
            <c:numRef>
              <c:f>top_down!$F$70</c:f>
              <c:numCache>
                <c:ptCount val="1"/>
                <c:pt idx="0">
                  <c:v>0</c:v>
                </c:pt>
              </c:numCache>
            </c:numRef>
          </c:yVal>
          <c:smooth val="0"/>
        </c:ser>
        <c:ser>
          <c:idx val="1"/>
          <c:order val="1"/>
          <c:tx>
            <c:strRef>
              <c:f>top_down!#REF!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0"/>
            <c:showBubbleSize val="0"/>
            <c:showCatName val="0"/>
            <c:showSerName val="1"/>
            <c:showPercent val="0"/>
          </c:dLbls>
          <c:xVal>
            <c:numRef>
              <c:f>top_down!$G$48</c:f>
              <c:numCache>
                <c:ptCount val="1"/>
                <c:pt idx="0">
                  <c:v>0</c:v>
                </c:pt>
              </c:numCache>
            </c:numRef>
          </c:xVal>
          <c:yVal>
            <c:numRef>
              <c:f>top_down!$G$70</c:f>
              <c:numCache>
                <c:ptCount val="1"/>
                <c:pt idx="0">
                  <c:v>0</c:v>
                </c:pt>
              </c:numCache>
            </c:numRef>
          </c:yVal>
          <c:smooth val="0"/>
        </c:ser>
        <c:ser>
          <c:idx val="2"/>
          <c:order val="2"/>
          <c:tx>
            <c:strRef>
              <c:f>top_down!#REF!</c:f>
              <c:strCache>
                <c:ptCount val="1"/>
                <c:pt idx="0">
                  <c:v>#RIF!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0"/>
            <c:showBubbleSize val="0"/>
            <c:showCatName val="0"/>
            <c:showSerName val="1"/>
            <c:showPercent val="0"/>
          </c:dLbls>
          <c:xVal>
            <c:numRef>
              <c:f>top_down!$H$48</c:f>
              <c:numCache>
                <c:ptCount val="1"/>
                <c:pt idx="0">
                  <c:v>0</c:v>
                </c:pt>
              </c:numCache>
            </c:numRef>
          </c:xVal>
          <c:yVal>
            <c:numRef>
              <c:f>top_down!$H$70</c:f>
              <c:numCache>
                <c:ptCount val="1"/>
                <c:pt idx="0">
                  <c:v>0</c:v>
                </c:pt>
              </c:numCache>
            </c:numRef>
          </c:yVal>
          <c:smooth val="0"/>
        </c:ser>
        <c:axId val="5157335"/>
        <c:axId val="46416016"/>
      </c:scatterChart>
      <c:valAx>
        <c:axId val="5157335"/>
        <c:scaling>
          <c:orientation val="minMax"/>
        </c:scaling>
        <c:axPos val="b"/>
        <c:title>
          <c:tx>
            <c:rich>
              <a:bodyPr vert="horz" rot="0" anchor="ctr"/>
              <a:lstStyle/>
              <a:p>
                <a:pPr algn="ctr">
                  <a:defRPr/>
                </a:pPr>
                <a:r>
                  <a:rPr lang="en-US" cap="none" sz="150" b="1" i="0" u="none" baseline="0"/>
                  <a:t>overall market</a:t>
                </a:r>
              </a:p>
            </c:rich>
          </c:tx>
          <c:layout/>
          <c:overlay val="0"/>
          <c:spPr>
            <a:noFill/>
            <a:ln>
              <a:noFill/>
            </a:ln>
          </c:spPr>
        </c:title>
        <c:majorGridlines/>
        <c:delete val="0"/>
        <c:numFmt formatCode="General" sourceLinked="1"/>
        <c:majorTickMark val="out"/>
        <c:minorTickMark val="none"/>
        <c:tickLblPos val="nextTo"/>
        <c:crossAx val="46416016"/>
        <c:crosses val="autoZero"/>
        <c:crossBetween val="midCat"/>
        <c:dispUnits/>
      </c:valAx>
      <c:valAx>
        <c:axId val="46416016"/>
        <c:scaling>
          <c:orientation val="minMax"/>
        </c:scaling>
        <c:axPos val="l"/>
        <c:title>
          <c:tx>
            <c:rich>
              <a:bodyPr vert="horz" rot="-5400000" anchor="ctr"/>
              <a:lstStyle/>
              <a:p>
                <a:pPr algn="ctr">
                  <a:defRPr/>
                </a:pPr>
                <a:r>
                  <a:rPr lang="en-US" cap="none" sz="150" b="1" i="0" u="none" baseline="0"/>
                  <a:t>pertinent market</a:t>
                </a:r>
              </a:p>
            </c:rich>
          </c:tx>
          <c:layout/>
          <c:overlay val="0"/>
          <c:spPr>
            <a:noFill/>
            <a:ln>
              <a:noFill/>
            </a:ln>
          </c:spPr>
        </c:title>
        <c:majorGridlines/>
        <c:delete val="0"/>
        <c:numFmt formatCode="General" sourceLinked="1"/>
        <c:majorTickMark val="out"/>
        <c:minorTickMark val="none"/>
        <c:tickLblPos val="nextTo"/>
        <c:crossAx val="51573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sales mix: market (interno) e pertinent (esterno)</a:t>
            </a:r>
          </a:p>
        </c:rich>
      </c:tx>
      <c:layout/>
      <c:spPr>
        <a:noFill/>
        <a:ln>
          <a:noFill/>
        </a:ln>
      </c:spPr>
    </c:title>
    <c:plotArea>
      <c:layout/>
      <c:doughnutChart>
        <c:varyColors val="1"/>
        <c:ser>
          <c:idx val="0"/>
          <c:order val="0"/>
          <c:tx>
            <c:strRef>
              <c:f>top_down!#REF!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top_down!#REF!</c:f>
              <c:strCache>
                <c:ptCount val="1"/>
                <c:pt idx="0">
                  <c:v>1</c:v>
                </c:pt>
              </c:strCache>
            </c:strRef>
          </c:cat>
          <c:val>
            <c:numRef>
              <c:f>top_down!#REF!</c:f>
              <c:numCache>
                <c:ptCount val="1"/>
                <c:pt idx="0">
                  <c:v>1</c:v>
                </c:pt>
              </c:numCache>
            </c:numRef>
          </c:val>
        </c:ser>
        <c:ser>
          <c:idx val="1"/>
          <c:order val="1"/>
          <c:tx>
            <c:strRef>
              <c:f>top_down!#REF!</c:f>
              <c:strCache>
                <c:ptCount val="1"/>
                <c:pt idx="0">
                  <c:v>#RIF!</c:v>
                </c:pt>
              </c:strCache>
            </c:strRef>
          </c:tx>
          <c:explosion val="0"/>
          <c:extLst>
            <c:ext xmlns:c14="http://schemas.microsoft.com/office/drawing/2007/8/2/chart" uri="{6F2FDCE9-48DA-4B69-8628-5D25D57E5C99}">
              <c14:invertSolidFillFmt>
                <c14:spPr>
                  <a:solidFill>
                    <a:srgbClr val="000000"/>
                  </a:solidFill>
                </c14:spPr>
              </c14:invertSolidFillFmt>
            </c:ext>
          </c:extLst>
          <c:cat>
            <c:strRef>
              <c:f>top_down!#REF!</c:f>
              <c:strCache>
                <c:ptCount val="1"/>
                <c:pt idx="0">
                  <c:v>1</c:v>
                </c:pt>
              </c:strCache>
            </c:strRef>
          </c:cat>
          <c:val>
            <c:numRef>
              <c:f>top_down!#REF!</c:f>
              <c:numCache>
                <c:ptCount val="1"/>
                <c:pt idx="0">
                  <c:v>1</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1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c:f>
              <c:strCache>
                <c:ptCount val="1"/>
                <c:pt idx="0">
                  <c:v>1</c:v>
                </c:pt>
              </c:strCache>
            </c:strRef>
          </c:cat>
          <c:val>
            <c:numRef>
              <c:f>riepilogo!#REF!</c:f>
              <c:numCache>
                <c:ptCount val="1"/>
                <c:pt idx="0">
                  <c:v>1</c:v>
                </c:pt>
              </c:numCache>
            </c:numRef>
          </c:val>
        </c:ser>
        <c:axId val="15090961"/>
        <c:axId val="1600922"/>
      </c:radarChart>
      <c:catAx>
        <c:axId val="1509096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600922"/>
        <c:crosses val="autoZero"/>
        <c:auto val="1"/>
        <c:lblOffset val="100"/>
        <c:noMultiLvlLbl val="0"/>
      </c:catAx>
      <c:valAx>
        <c:axId val="160092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150909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Tahoma"/>
          <a:ea typeface="Tahoma"/>
          <a:cs typeface="Tahoma"/>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c:f>
              <c:strCache>
                <c:ptCount val="1"/>
                <c:pt idx="0">
                  <c:v>1</c:v>
                </c:pt>
              </c:strCache>
            </c:strRef>
          </c:cat>
          <c:val>
            <c:numRef>
              <c:f>riepilogo!#REF!</c:f>
              <c:numCache>
                <c:ptCount val="1"/>
                <c:pt idx="0">
                  <c:v>1</c:v>
                </c:pt>
              </c:numCache>
            </c:numRef>
          </c:val>
        </c:ser>
        <c:axId val="14408299"/>
        <c:axId val="62565828"/>
      </c:radarChart>
      <c:catAx>
        <c:axId val="1440829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2565828"/>
        <c:crosses val="autoZero"/>
        <c:auto val="1"/>
        <c:lblOffset val="100"/>
        <c:noMultiLvlLbl val="0"/>
      </c:catAx>
      <c:valAx>
        <c:axId val="6256582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1440829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Tahoma"/>
          <a:ea typeface="Tahoma"/>
          <a:cs typeface="Tahoma"/>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c:f>
              <c:strCache>
                <c:ptCount val="1"/>
                <c:pt idx="0">
                  <c:v>1</c:v>
                </c:pt>
              </c:strCache>
            </c:strRef>
          </c:cat>
          <c:val>
            <c:numRef>
              <c:f>riepilogo!#REF!</c:f>
              <c:numCache>
                <c:ptCount val="1"/>
                <c:pt idx="0">
                  <c:v>1</c:v>
                </c:pt>
              </c:numCache>
            </c:numRef>
          </c:val>
        </c:ser>
        <c:axId val="26221541"/>
        <c:axId val="34667278"/>
      </c:radarChart>
      <c:catAx>
        <c:axId val="2622154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4667278"/>
        <c:crosses val="autoZero"/>
        <c:auto val="1"/>
        <c:lblOffset val="100"/>
        <c:noMultiLvlLbl val="0"/>
      </c:catAx>
      <c:valAx>
        <c:axId val="3466727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62215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Tahoma"/>
          <a:ea typeface="Tahoma"/>
          <a:cs typeface="Tahoma"/>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c:f>
              <c:strCache>
                <c:ptCount val="1"/>
                <c:pt idx="0">
                  <c:v>1</c:v>
                </c:pt>
              </c:strCache>
            </c:strRef>
          </c:cat>
          <c:val>
            <c:numRef>
              <c:f>riepilogo!#REF!</c:f>
              <c:numCache>
                <c:ptCount val="1"/>
                <c:pt idx="0">
                  <c:v>1</c:v>
                </c:pt>
              </c:numCache>
            </c:numRef>
          </c:val>
        </c:ser>
        <c:axId val="43570047"/>
        <c:axId val="56586104"/>
      </c:radarChart>
      <c:catAx>
        <c:axId val="4357004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6586104"/>
        <c:crosses val="autoZero"/>
        <c:auto val="1"/>
        <c:lblOffset val="100"/>
        <c:noMultiLvlLbl val="0"/>
      </c:catAx>
      <c:valAx>
        <c:axId val="5658610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4357004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Tahoma"/>
          <a:ea typeface="Tahoma"/>
          <a:cs typeface="Tahoma"/>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c:f>
              <c:strCache>
                <c:ptCount val="1"/>
                <c:pt idx="0">
                  <c:v>1</c:v>
                </c:pt>
              </c:strCache>
            </c:strRef>
          </c:cat>
          <c:val>
            <c:numRef>
              <c:f>riepilogo!#REF!</c:f>
              <c:numCache>
                <c:ptCount val="1"/>
                <c:pt idx="0">
                  <c:v>1</c:v>
                </c:pt>
              </c:numCache>
            </c:numRef>
          </c:val>
        </c:ser>
        <c:axId val="39512889"/>
        <c:axId val="20071682"/>
      </c:radarChart>
      <c:catAx>
        <c:axId val="3951288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0071682"/>
        <c:crosses val="autoZero"/>
        <c:auto val="1"/>
        <c:lblOffset val="100"/>
        <c:noMultiLvlLbl val="0"/>
      </c:catAx>
      <c:valAx>
        <c:axId val="2007168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395128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Tahoma"/>
          <a:ea typeface="Tahoma"/>
          <a:cs typeface="Tahoma"/>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(riepilogo!#REF!,riepilogo!#REF!,riepilogo!#REF!,riepilogo!#REF!,riepilogo!#REF!)</c:f>
              <c:strCache>
                <c:ptCount val="1"/>
                <c:pt idx="0">
                  <c:v>1</c:v>
                </c:pt>
              </c:strCache>
            </c:strRef>
          </c:cat>
          <c:val>
            <c:numRef>
              <c:f>(riepilogo!#REF!,riepilogo!#REF!,riepilogo!#REF!,riepilogo!#REF!,riepilogo!#REF!)</c:f>
              <c:numCache>
                <c:ptCount val="1"/>
                <c:pt idx="0">
                  <c:v>1</c:v>
                </c:pt>
              </c:numCache>
            </c:numRef>
          </c:val>
        </c:ser>
        <c:axId val="46427411"/>
        <c:axId val="15193516"/>
      </c:radarChart>
      <c:catAx>
        <c:axId val="4642741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5193516"/>
        <c:crosses val="autoZero"/>
        <c:auto val="1"/>
        <c:lblOffset val="100"/>
        <c:noMultiLvlLbl val="0"/>
      </c:catAx>
      <c:valAx>
        <c:axId val="1519351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464274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2523917"/>
        <c:axId val="22715254"/>
      </c:radarChart>
      <c:catAx>
        <c:axId val="252391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2715254"/>
        <c:crosses val="autoZero"/>
        <c:auto val="1"/>
        <c:lblOffset val="100"/>
        <c:noMultiLvlLbl val="0"/>
      </c:catAx>
      <c:valAx>
        <c:axId val="2271525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52391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c:f>
              <c:strCache>
                <c:ptCount val="1"/>
                <c:pt idx="0">
                  <c:v>1</c:v>
                </c:pt>
              </c:strCache>
            </c:strRef>
          </c:cat>
          <c:val>
            <c:numRef>
              <c:f>home!#REF!</c:f>
              <c:numCache>
                <c:ptCount val="1"/>
                <c:pt idx="0">
                  <c:v>1</c:v>
                </c:pt>
              </c:numCache>
            </c:numRef>
          </c:val>
        </c:ser>
        <c:axId val="28003459"/>
        <c:axId val="50704540"/>
      </c:radarChart>
      <c:catAx>
        <c:axId val="2800345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0704540"/>
        <c:crosses val="autoZero"/>
        <c:auto val="1"/>
        <c:lblOffset val="100"/>
        <c:noMultiLvlLbl val="0"/>
      </c:catAx>
      <c:valAx>
        <c:axId val="5070454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280034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3110695"/>
        <c:axId val="27996256"/>
      </c:radarChart>
      <c:catAx>
        <c:axId val="311069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7996256"/>
        <c:crosses val="autoZero"/>
        <c:auto val="1"/>
        <c:lblOffset val="100"/>
        <c:noMultiLvlLbl val="0"/>
      </c:catAx>
      <c:valAx>
        <c:axId val="2799625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311069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Tahoma"/>
          <a:ea typeface="Tahoma"/>
          <a:cs typeface="Tahoma"/>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50639713"/>
        <c:axId val="53104234"/>
      </c:radarChart>
      <c:catAx>
        <c:axId val="5063971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3104234"/>
        <c:crosses val="autoZero"/>
        <c:auto val="1"/>
        <c:lblOffset val="100"/>
        <c:noMultiLvlLbl val="0"/>
      </c:catAx>
      <c:valAx>
        <c:axId val="5310423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06397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Tahoma"/>
          <a:ea typeface="Tahoma"/>
          <a:cs typeface="Tahoma"/>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8176059"/>
        <c:axId val="6475668"/>
      </c:radarChart>
      <c:catAx>
        <c:axId val="817605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475668"/>
        <c:crosses val="autoZero"/>
        <c:auto val="1"/>
        <c:lblOffset val="100"/>
        <c:noMultiLvlLbl val="0"/>
      </c:catAx>
      <c:valAx>
        <c:axId val="647566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81760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Tahoma"/>
          <a:ea typeface="Tahoma"/>
          <a:cs typeface="Tahoma"/>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58281013"/>
        <c:axId val="54767070"/>
      </c:radarChart>
      <c:catAx>
        <c:axId val="5828101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4767070"/>
        <c:crosses val="autoZero"/>
        <c:auto val="1"/>
        <c:lblOffset val="100"/>
        <c:noMultiLvlLbl val="0"/>
      </c:catAx>
      <c:valAx>
        <c:axId val="5476707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82810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Tahoma"/>
          <a:ea typeface="Tahoma"/>
          <a:cs typeface="Tahoma"/>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(help!#REF!,help!#REF!,help!#REF!,help!#REF!,help!#REF!)</c:f>
              <c:strCache>
                <c:ptCount val="1"/>
                <c:pt idx="0">
                  <c:v>1</c:v>
                </c:pt>
              </c:strCache>
            </c:strRef>
          </c:cat>
          <c:val>
            <c:numRef>
              <c:f>(help!#REF!,help!#REF!,help!#REF!,help!#REF!,help!#REF!)</c:f>
              <c:numCache>
                <c:ptCount val="1"/>
                <c:pt idx="0">
                  <c:v>1</c:v>
                </c:pt>
              </c:numCache>
            </c:numRef>
          </c:val>
        </c:ser>
        <c:axId val="23141583"/>
        <c:axId val="6947656"/>
      </c:radarChart>
      <c:catAx>
        <c:axId val="2314158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947656"/>
        <c:crosses val="autoZero"/>
        <c:auto val="1"/>
        <c:lblOffset val="100"/>
        <c:noMultiLvlLbl val="0"/>
      </c:catAx>
      <c:valAx>
        <c:axId val="694765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314158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(home!#REF!,home!#REF!,home!#REF!,home!#REF!,home!#REF!)</c:f>
              <c:strCache>
                <c:ptCount val="1"/>
                <c:pt idx="0">
                  <c:v>1</c:v>
                </c:pt>
              </c:strCache>
            </c:strRef>
          </c:cat>
          <c:val>
            <c:numRef>
              <c:f>(home!#REF!,home!#REF!,home!#REF!,home!#REF!,home!#REF!)</c:f>
              <c:numCache>
                <c:ptCount val="1"/>
                <c:pt idx="0">
                  <c:v>1</c:v>
                </c:pt>
              </c:numCache>
            </c:numRef>
          </c:val>
        </c:ser>
        <c:axId val="53687677"/>
        <c:axId val="13427046"/>
      </c:radarChart>
      <c:catAx>
        <c:axId val="5368767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3427046"/>
        <c:crosses val="autoZero"/>
        <c:auto val="1"/>
        <c:lblOffset val="100"/>
        <c:noMultiLvlLbl val="0"/>
      </c:catAx>
      <c:valAx>
        <c:axId val="1342704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368767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f>
              <c:strCache>
                <c:ptCount val="1"/>
                <c:pt idx="0">
                  <c:v>1</c:v>
                </c:pt>
              </c:strCache>
            </c:strRef>
          </c:cat>
          <c:val>
            <c:numRef>
              <c:f>contesto!#REF!</c:f>
              <c:numCache>
                <c:ptCount val="1"/>
                <c:pt idx="0">
                  <c:v>1</c:v>
                </c:pt>
              </c:numCache>
            </c:numRef>
          </c:val>
        </c:ser>
        <c:axId val="53734551"/>
        <c:axId val="13848912"/>
      </c:radarChart>
      <c:catAx>
        <c:axId val="5373455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3848912"/>
        <c:crosses val="autoZero"/>
        <c:auto val="1"/>
        <c:lblOffset val="100"/>
        <c:noMultiLvlLbl val="0"/>
      </c:catAx>
      <c:valAx>
        <c:axId val="1384891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537345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f>
              <c:strCache>
                <c:ptCount val="1"/>
                <c:pt idx="0">
                  <c:v>1</c:v>
                </c:pt>
              </c:strCache>
            </c:strRef>
          </c:cat>
          <c:val>
            <c:numRef>
              <c:f>contesto!#REF!</c:f>
              <c:numCache>
                <c:ptCount val="1"/>
                <c:pt idx="0">
                  <c:v>1</c:v>
                </c:pt>
              </c:numCache>
            </c:numRef>
          </c:val>
        </c:ser>
        <c:axId val="57531345"/>
        <c:axId val="48020058"/>
      </c:radarChart>
      <c:catAx>
        <c:axId val="5753134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8020058"/>
        <c:crosses val="autoZero"/>
        <c:auto val="1"/>
        <c:lblOffset val="100"/>
        <c:noMultiLvlLbl val="0"/>
      </c:catAx>
      <c:valAx>
        <c:axId val="4802005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5753134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contesto!#REF!</c:f>
              <c:strCache>
                <c:ptCount val="1"/>
                <c:pt idx="0">
                  <c:v>1</c:v>
                </c:pt>
              </c:strCache>
            </c:strRef>
          </c:cat>
          <c:val>
            <c:numRef>
              <c:f>contesto!#REF!</c:f>
              <c:numCache>
                <c:ptCount val="1"/>
                <c:pt idx="0">
                  <c:v>1</c:v>
                </c:pt>
              </c:numCache>
            </c:numRef>
          </c:val>
        </c:ser>
        <c:axId val="29527339"/>
        <c:axId val="64419460"/>
      </c:radarChart>
      <c:catAx>
        <c:axId val="2952733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4419460"/>
        <c:crosses val="autoZero"/>
        <c:auto val="1"/>
        <c:lblOffset val="100"/>
        <c:noMultiLvlLbl val="0"/>
      </c:catAx>
      <c:valAx>
        <c:axId val="6441946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crossAx val="295273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hyperlink" Target="#contesto!A1" /><Relationship Id="rId8" Type="http://schemas.openxmlformats.org/officeDocument/2006/relationships/hyperlink" Target="#contesto!D9" /><Relationship Id="rId9" Type="http://schemas.openxmlformats.org/officeDocument/2006/relationships/hyperlink" Target="#help!A50"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hyperlink" Target="#home!A1" /><Relationship Id="rId10" Type="http://schemas.openxmlformats.org/officeDocument/2006/relationships/hyperlink" Target="#scelta!A1" /><Relationship Id="rId11" Type="http://schemas.openxmlformats.org/officeDocument/2006/relationships/hyperlink" Target="#bottom_up!A1" /><Relationship Id="rId12" Type="http://schemas.openxmlformats.org/officeDocument/2006/relationships/hyperlink" Target="#benchmark!A1" /><Relationship Id="rId13" Type="http://schemas.openxmlformats.org/officeDocument/2006/relationships/hyperlink" Target="#top_down!A1" /><Relationship Id="rId14" Type="http://schemas.openxmlformats.org/officeDocument/2006/relationships/hyperlink" Target="#riepilogo!A1" /><Relationship Id="rId15" Type="http://schemas.openxmlformats.org/officeDocument/2006/relationships/hyperlink" Target="#riepilogo!A26" /><Relationship Id="rId16" Type="http://schemas.openxmlformats.org/officeDocument/2006/relationships/hyperlink" Target="#help!A100" /><Relationship Id="rId17" Type="http://schemas.openxmlformats.org/officeDocument/2006/relationships/hyperlink" Target="#help!A150" /><Relationship Id="rId18" Type="http://schemas.openxmlformats.org/officeDocument/2006/relationships/hyperlink" Target="#help!A200" /></Relationships>
</file>

<file path=xl/drawings/_rels/drawing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hyperlink" Target="#bottom_up!A1" /><Relationship Id="rId8" Type="http://schemas.openxmlformats.org/officeDocument/2006/relationships/hyperlink" Target="#benchmark!A1" /><Relationship Id="rId9" Type="http://schemas.openxmlformats.org/officeDocument/2006/relationships/hyperlink" Target="#top_down!A1" /><Relationship Id="rId10" Type="http://schemas.openxmlformats.org/officeDocument/2006/relationships/hyperlink" Target="#home!A1" /><Relationship Id="rId11" Type="http://schemas.openxmlformats.org/officeDocument/2006/relationships/hyperlink" Target="#contesto!A1" /><Relationship Id="rId12" Type="http://schemas.openxmlformats.org/officeDocument/2006/relationships/hyperlink" Target="#help!A250"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 Id="rId9" Type="http://schemas.openxmlformats.org/officeDocument/2006/relationships/hyperlink" Target="#home!A1" /><Relationship Id="rId10" Type="http://schemas.openxmlformats.org/officeDocument/2006/relationships/hyperlink" Target="#contesto!A1" /><Relationship Id="rId11" Type="http://schemas.openxmlformats.org/officeDocument/2006/relationships/hyperlink" Target="#scelta!A1" /><Relationship Id="rId12" Type="http://schemas.openxmlformats.org/officeDocument/2006/relationships/hyperlink" Target="#benchmark!A1" /><Relationship Id="rId13" Type="http://schemas.openxmlformats.org/officeDocument/2006/relationships/hyperlink" Target="#top_down!A1" /><Relationship Id="rId14" Type="http://schemas.openxmlformats.org/officeDocument/2006/relationships/hyperlink" Target="#riepilogo!A1" /><Relationship Id="rId15" Type="http://schemas.openxmlformats.org/officeDocument/2006/relationships/hyperlink" Target="#help!A300" /><Relationship Id="rId16" Type="http://schemas.openxmlformats.org/officeDocument/2006/relationships/hyperlink" Target="#help!A350" /><Relationship Id="rId17" Type="http://schemas.openxmlformats.org/officeDocument/2006/relationships/hyperlink" Target="#help!A400" /><Relationship Id="rId18" Type="http://schemas.openxmlformats.org/officeDocument/2006/relationships/hyperlink" Target="#help!A500" /><Relationship Id="rId19" Type="http://schemas.openxmlformats.org/officeDocument/2006/relationships/hyperlink" Target="#help!A550" /><Relationship Id="rId20" Type="http://schemas.openxmlformats.org/officeDocument/2006/relationships/hyperlink" Target="#help!A600" /><Relationship Id="rId21" Type="http://schemas.openxmlformats.org/officeDocument/2006/relationships/hyperlink" Target="#help!A650" /><Relationship Id="rId22" Type="http://schemas.openxmlformats.org/officeDocument/2006/relationships/hyperlink" Target="#help!A700" /><Relationship Id="rId23" Type="http://schemas.openxmlformats.org/officeDocument/2006/relationships/hyperlink" Target="#help!A750" /><Relationship Id="rId24" Type="http://schemas.openxmlformats.org/officeDocument/2006/relationships/hyperlink" Target="#help!A800" /><Relationship Id="rId25" Type="http://schemas.openxmlformats.org/officeDocument/2006/relationships/hyperlink" Target="#help!A850" /><Relationship Id="rId26" Type="http://schemas.openxmlformats.org/officeDocument/2006/relationships/hyperlink" Target="#help!A450" /></Relationships>
</file>

<file path=xl/drawings/_rels/drawing5.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hyperlink" Target="#home!A1" /><Relationship Id="rId8" Type="http://schemas.openxmlformats.org/officeDocument/2006/relationships/hyperlink" Target="#contesto!A1" /><Relationship Id="rId9" Type="http://schemas.openxmlformats.org/officeDocument/2006/relationships/hyperlink" Target="#scelta!A1" /><Relationship Id="rId10" Type="http://schemas.openxmlformats.org/officeDocument/2006/relationships/hyperlink" Target="#bottom_up!A1" /><Relationship Id="rId11" Type="http://schemas.openxmlformats.org/officeDocument/2006/relationships/hyperlink" Target="#top_down!A1" /><Relationship Id="rId12" Type="http://schemas.openxmlformats.org/officeDocument/2006/relationships/hyperlink" Target="#riepilogo!A1" /><Relationship Id="rId13" Type="http://schemas.openxmlformats.org/officeDocument/2006/relationships/hyperlink" Target="#help!A900" /><Relationship Id="rId14" Type="http://schemas.openxmlformats.org/officeDocument/2006/relationships/hyperlink" Target="#help!A950" /><Relationship Id="rId15" Type="http://schemas.openxmlformats.org/officeDocument/2006/relationships/hyperlink" Target="#help!A1000" /><Relationship Id="rId16" Type="http://schemas.openxmlformats.org/officeDocument/2006/relationships/hyperlink" Target="#help!A1050" /><Relationship Id="rId17" Type="http://schemas.openxmlformats.org/officeDocument/2006/relationships/hyperlink" Target="#help!A1100" /><Relationship Id="rId18" Type="http://schemas.openxmlformats.org/officeDocument/2006/relationships/hyperlink" Target="#help!A1150" /><Relationship Id="rId19" Type="http://schemas.openxmlformats.org/officeDocument/2006/relationships/hyperlink" Target="#help!A1200" /></Relationships>
</file>

<file path=xl/drawings/_rels/drawing6.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 Id="rId9" Type="http://schemas.openxmlformats.org/officeDocument/2006/relationships/hyperlink" Target="#home!A1" /><Relationship Id="rId10" Type="http://schemas.openxmlformats.org/officeDocument/2006/relationships/hyperlink" Target="#contesto!A1" /><Relationship Id="rId11" Type="http://schemas.openxmlformats.org/officeDocument/2006/relationships/hyperlink" Target="#scelta!A1" /><Relationship Id="rId12" Type="http://schemas.openxmlformats.org/officeDocument/2006/relationships/hyperlink" Target="#bottom_up!A1" /><Relationship Id="rId13" Type="http://schemas.openxmlformats.org/officeDocument/2006/relationships/hyperlink" Target="#benchmark!A1" /><Relationship Id="rId14" Type="http://schemas.openxmlformats.org/officeDocument/2006/relationships/hyperlink" Target="#riepilogo!A1" /><Relationship Id="rId15" Type="http://schemas.openxmlformats.org/officeDocument/2006/relationships/hyperlink" Target="#help!A1250" /><Relationship Id="rId16" Type="http://schemas.openxmlformats.org/officeDocument/2006/relationships/hyperlink" Target="#help!A1300" /><Relationship Id="rId17" Type="http://schemas.openxmlformats.org/officeDocument/2006/relationships/hyperlink" Target="#help!A1350" /><Relationship Id="rId18" Type="http://schemas.openxmlformats.org/officeDocument/2006/relationships/hyperlink" Target="#help!A1400" /><Relationship Id="rId19" Type="http://schemas.openxmlformats.org/officeDocument/2006/relationships/hyperlink" Target="#help!A1450" /><Relationship Id="rId20" Type="http://schemas.openxmlformats.org/officeDocument/2006/relationships/hyperlink" Target="#help!A1500" /><Relationship Id="rId21" Type="http://schemas.openxmlformats.org/officeDocument/2006/relationships/hyperlink" Target="#help!A1550" /><Relationship Id="rId22" Type="http://schemas.openxmlformats.org/officeDocument/2006/relationships/hyperlink" Target="#help!A1600" /><Relationship Id="rId23" Type="http://schemas.openxmlformats.org/officeDocument/2006/relationships/hyperlink" Target="#help!A1650" /><Relationship Id="rId24" Type="http://schemas.openxmlformats.org/officeDocument/2006/relationships/hyperlink" Target="#help!A1700" /><Relationship Id="rId25" Type="http://schemas.openxmlformats.org/officeDocument/2006/relationships/hyperlink" Target="#help!A1750" /></Relationships>
</file>

<file path=xl/drawings/_rels/drawing7.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hyperlink" Target="#home!A1" /><Relationship Id="rId8" Type="http://schemas.openxmlformats.org/officeDocument/2006/relationships/hyperlink" Target="#contesto!A1" /><Relationship Id="rId9" Type="http://schemas.openxmlformats.org/officeDocument/2006/relationships/hyperlink" Target="#scelta!A1" /><Relationship Id="rId10" Type="http://schemas.openxmlformats.org/officeDocument/2006/relationships/hyperlink" Target="#bottom_up!A1" /><Relationship Id="rId11" Type="http://schemas.openxmlformats.org/officeDocument/2006/relationships/hyperlink" Target="#top_down!A1" /><Relationship Id="rId12" Type="http://schemas.openxmlformats.org/officeDocument/2006/relationships/hyperlink" Target="#benchmark!A1" /><Relationship Id="rId13" Type="http://schemas.openxmlformats.org/officeDocument/2006/relationships/hyperlink" Target="#help!A1800" /></Relationships>
</file>

<file path=xl/drawings/_rels/drawing8.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xdr:row>
      <xdr:rowOff>0</xdr:rowOff>
    </xdr:from>
    <xdr:to>
      <xdr:col>10</xdr:col>
      <xdr:colOff>9525</xdr:colOff>
      <xdr:row>1</xdr:row>
      <xdr:rowOff>0</xdr:rowOff>
    </xdr:to>
    <xdr:sp macro="[1]!Apri_Sottosezione_1">
      <xdr:nvSpPr>
        <xdr:cNvPr id="1" name="Rectangle 1"/>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
      <xdr:nvSpPr>
        <xdr:cNvPr id="2" name="Rectangle 2"/>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3">
      <xdr:nvSpPr>
        <xdr:cNvPr id="3" name="Rectangle 3"/>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4">
      <xdr:nvSpPr>
        <xdr:cNvPr id="4" name="Rectangle 4"/>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5">
      <xdr:nvSpPr>
        <xdr:cNvPr id="5" name="Rectangle 5"/>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6">
      <xdr:nvSpPr>
        <xdr:cNvPr id="6" name="Rectangle 6"/>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7">
      <xdr:nvSpPr>
        <xdr:cNvPr id="7" name="Rectangle 7"/>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8">
      <xdr:nvSpPr>
        <xdr:cNvPr id="8" name="Rectangle 8"/>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9">
      <xdr:nvSpPr>
        <xdr:cNvPr id="9" name="Rectangle 9"/>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0">
      <xdr:nvSpPr>
        <xdr:cNvPr id="10" name="Rectangle 10"/>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1">
      <xdr:nvSpPr>
        <xdr:cNvPr id="11" name="Rectangle 11"/>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2">
      <xdr:nvSpPr>
        <xdr:cNvPr id="12" name="Rectangle 12"/>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3">
      <xdr:nvSpPr>
        <xdr:cNvPr id="13" name="Rectangle 13"/>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4">
      <xdr:nvSpPr>
        <xdr:cNvPr id="14" name="Rectangle 14"/>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5">
      <xdr:nvSpPr>
        <xdr:cNvPr id="15" name="Rectangle 15"/>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6">
      <xdr:nvSpPr>
        <xdr:cNvPr id="16" name="Rectangle 16"/>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7">
      <xdr:nvSpPr>
        <xdr:cNvPr id="17" name="Rectangle 17"/>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8">
      <xdr:nvSpPr>
        <xdr:cNvPr id="18" name="Rectangle 18"/>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9">
      <xdr:nvSpPr>
        <xdr:cNvPr id="19" name="Rectangle 19"/>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0">
      <xdr:nvSpPr>
        <xdr:cNvPr id="20" name="Rectangle 20"/>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1">
      <xdr:nvSpPr>
        <xdr:cNvPr id="21" name="Rectangle 21"/>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2">
      <xdr:nvSpPr>
        <xdr:cNvPr id="22" name="Rectangle 22"/>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3">
      <xdr:nvSpPr>
        <xdr:cNvPr id="23" name="Rectangle 23"/>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4">
      <xdr:nvSpPr>
        <xdr:cNvPr id="24" name="Rectangle 24"/>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5">
      <xdr:nvSpPr>
        <xdr:cNvPr id="25" name="Rectangle 25"/>
        <xdr:cNvSpPr>
          <a:spLocks/>
        </xdr:cNvSpPr>
      </xdr:nvSpPr>
      <xdr:spPr>
        <a:xfrm>
          <a:off x="2762250" y="762000"/>
          <a:ext cx="2476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95250</xdr:colOff>
      <xdr:row>1</xdr:row>
      <xdr:rowOff>0</xdr:rowOff>
    </xdr:from>
    <xdr:to>
      <xdr:col>13</xdr:col>
      <xdr:colOff>314325</xdr:colOff>
      <xdr:row>1</xdr:row>
      <xdr:rowOff>0</xdr:rowOff>
    </xdr:to>
    <xdr:graphicFrame>
      <xdr:nvGraphicFramePr>
        <xdr:cNvPr id="26" name="Chart 31"/>
        <xdr:cNvGraphicFramePr/>
      </xdr:nvGraphicFramePr>
      <xdr:xfrm>
        <a:off x="3724275" y="762000"/>
        <a:ext cx="533400" cy="0"/>
      </xdr:xfrm>
      <a:graphic>
        <a:graphicData uri="http://schemas.openxmlformats.org/drawingml/2006/chart">
          <c:chart xmlns:c="http://schemas.openxmlformats.org/drawingml/2006/chart" r:id="rId1"/>
        </a:graphicData>
      </a:graphic>
    </xdr:graphicFrame>
    <xdr:clientData/>
  </xdr:twoCellAnchor>
  <xdr:twoCellAnchor>
    <xdr:from>
      <xdr:col>12</xdr:col>
      <xdr:colOff>95250</xdr:colOff>
      <xdr:row>1</xdr:row>
      <xdr:rowOff>0</xdr:rowOff>
    </xdr:from>
    <xdr:to>
      <xdr:col>13</xdr:col>
      <xdr:colOff>314325</xdr:colOff>
      <xdr:row>1</xdr:row>
      <xdr:rowOff>0</xdr:rowOff>
    </xdr:to>
    <xdr:graphicFrame>
      <xdr:nvGraphicFramePr>
        <xdr:cNvPr id="27" name="Chart 32"/>
        <xdr:cNvGraphicFramePr/>
      </xdr:nvGraphicFramePr>
      <xdr:xfrm>
        <a:off x="3724275" y="762000"/>
        <a:ext cx="533400" cy="0"/>
      </xdr:xfrm>
      <a:graphic>
        <a:graphicData uri="http://schemas.openxmlformats.org/drawingml/2006/chart">
          <c:chart xmlns:c="http://schemas.openxmlformats.org/drawingml/2006/chart" r:id="rId2"/>
        </a:graphicData>
      </a:graphic>
    </xdr:graphicFrame>
    <xdr:clientData/>
  </xdr:twoCellAnchor>
  <xdr:twoCellAnchor>
    <xdr:from>
      <xdr:col>12</xdr:col>
      <xdr:colOff>95250</xdr:colOff>
      <xdr:row>1</xdr:row>
      <xdr:rowOff>0</xdr:rowOff>
    </xdr:from>
    <xdr:to>
      <xdr:col>13</xdr:col>
      <xdr:colOff>314325</xdr:colOff>
      <xdr:row>1</xdr:row>
      <xdr:rowOff>0</xdr:rowOff>
    </xdr:to>
    <xdr:graphicFrame>
      <xdr:nvGraphicFramePr>
        <xdr:cNvPr id="28" name="Chart 33"/>
        <xdr:cNvGraphicFramePr/>
      </xdr:nvGraphicFramePr>
      <xdr:xfrm>
        <a:off x="3724275" y="762000"/>
        <a:ext cx="533400" cy="0"/>
      </xdr:xfrm>
      <a:graphic>
        <a:graphicData uri="http://schemas.openxmlformats.org/drawingml/2006/chart">
          <c:chart xmlns:c="http://schemas.openxmlformats.org/drawingml/2006/chart" r:id="rId3"/>
        </a:graphicData>
      </a:graphic>
    </xdr:graphicFrame>
    <xdr:clientData/>
  </xdr:twoCellAnchor>
  <xdr:twoCellAnchor>
    <xdr:from>
      <xdr:col>12</xdr:col>
      <xdr:colOff>95250</xdr:colOff>
      <xdr:row>1</xdr:row>
      <xdr:rowOff>0</xdr:rowOff>
    </xdr:from>
    <xdr:to>
      <xdr:col>13</xdr:col>
      <xdr:colOff>314325</xdr:colOff>
      <xdr:row>1</xdr:row>
      <xdr:rowOff>0</xdr:rowOff>
    </xdr:to>
    <xdr:graphicFrame>
      <xdr:nvGraphicFramePr>
        <xdr:cNvPr id="29" name="Chart 34"/>
        <xdr:cNvGraphicFramePr/>
      </xdr:nvGraphicFramePr>
      <xdr:xfrm>
        <a:off x="3724275" y="762000"/>
        <a:ext cx="533400" cy="0"/>
      </xdr:xfrm>
      <a:graphic>
        <a:graphicData uri="http://schemas.openxmlformats.org/drawingml/2006/chart">
          <c:chart xmlns:c="http://schemas.openxmlformats.org/drawingml/2006/chart" r:id="rId4"/>
        </a:graphicData>
      </a:graphic>
    </xdr:graphicFrame>
    <xdr:clientData/>
  </xdr:twoCellAnchor>
  <xdr:twoCellAnchor>
    <xdr:from>
      <xdr:col>12</xdr:col>
      <xdr:colOff>95250</xdr:colOff>
      <xdr:row>1</xdr:row>
      <xdr:rowOff>0</xdr:rowOff>
    </xdr:from>
    <xdr:to>
      <xdr:col>13</xdr:col>
      <xdr:colOff>314325</xdr:colOff>
      <xdr:row>1</xdr:row>
      <xdr:rowOff>0</xdr:rowOff>
    </xdr:to>
    <xdr:graphicFrame>
      <xdr:nvGraphicFramePr>
        <xdr:cNvPr id="30" name="Chart 35"/>
        <xdr:cNvGraphicFramePr/>
      </xdr:nvGraphicFramePr>
      <xdr:xfrm>
        <a:off x="3724275" y="762000"/>
        <a:ext cx="533400" cy="0"/>
      </xdr:xfrm>
      <a:graphic>
        <a:graphicData uri="http://schemas.openxmlformats.org/drawingml/2006/chart">
          <c:chart xmlns:c="http://schemas.openxmlformats.org/drawingml/2006/chart" r:id="rId5"/>
        </a:graphicData>
      </a:graphic>
    </xdr:graphicFrame>
    <xdr:clientData/>
  </xdr:twoCellAnchor>
  <xdr:twoCellAnchor>
    <xdr:from>
      <xdr:col>6</xdr:col>
      <xdr:colOff>171450</xdr:colOff>
      <xdr:row>1</xdr:row>
      <xdr:rowOff>0</xdr:rowOff>
    </xdr:from>
    <xdr:to>
      <xdr:col>11</xdr:col>
      <xdr:colOff>314325</xdr:colOff>
      <xdr:row>1</xdr:row>
      <xdr:rowOff>0</xdr:rowOff>
    </xdr:to>
    <xdr:graphicFrame>
      <xdr:nvGraphicFramePr>
        <xdr:cNvPr id="31" name="Chart 36"/>
        <xdr:cNvGraphicFramePr/>
      </xdr:nvGraphicFramePr>
      <xdr:xfrm>
        <a:off x="1914525" y="762000"/>
        <a:ext cx="1714500" cy="0"/>
      </xdr:xfrm>
      <a:graphic>
        <a:graphicData uri="http://schemas.openxmlformats.org/drawingml/2006/chart">
          <c:chart xmlns:c="http://schemas.openxmlformats.org/drawingml/2006/chart" r:id="rId6"/>
        </a:graphicData>
      </a:graphic>
    </xdr:graphicFrame>
    <xdr:clientData/>
  </xdr:twoCellAnchor>
  <xdr:oneCellAnchor>
    <xdr:from>
      <xdr:col>19</xdr:col>
      <xdr:colOff>142875</xdr:colOff>
      <xdr:row>26</xdr:row>
      <xdr:rowOff>123825</xdr:rowOff>
    </xdr:from>
    <xdr:ext cx="981075" cy="3838575"/>
    <xdr:grpSp>
      <xdr:nvGrpSpPr>
        <xdr:cNvPr id="32" name="Group 79">
          <a:hlinkClick r:id="rId7"/>
        </xdr:cNvPr>
        <xdr:cNvGrpSpPr>
          <a:grpSpLocks/>
        </xdr:cNvGrpSpPr>
      </xdr:nvGrpSpPr>
      <xdr:grpSpPr>
        <a:xfrm>
          <a:off x="6076950" y="6896100"/>
          <a:ext cx="981075" cy="3838575"/>
          <a:chOff x="638" y="475"/>
          <a:chExt cx="103" cy="41"/>
        </a:xfrm>
        <a:solidFill>
          <a:srgbClr val="FFFFFF"/>
        </a:solidFill>
      </xdr:grpSpPr>
      <xdr:sp>
        <xdr:nvSpPr>
          <xdr:cNvPr id="33" name="Rectangle 38">
            <a:hlinkClick r:id="rId8"/>
          </xdr:cNvPr>
          <xdr:cNvSpPr>
            <a:spLocks/>
          </xdr:cNvSpPr>
        </xdr:nvSpPr>
        <xdr:spPr>
          <a:xfrm>
            <a:off x="638" y="475"/>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4" name="TextBox 39"/>
          <xdr:cNvSpPr txBox="1">
            <a:spLocks noChangeArrowheads="1"/>
          </xdr:cNvSpPr>
        </xdr:nvSpPr>
        <xdr:spPr>
          <a:xfrm>
            <a:off x="650" y="482"/>
            <a:ext cx="66" cy="34"/>
          </a:xfrm>
          <a:prstGeom prst="rect">
            <a:avLst/>
          </a:prstGeom>
          <a:solidFill>
            <a:srgbClr val="FF8080"/>
          </a:solidFill>
          <a:ln w="9525" cmpd="sng">
            <a:noFill/>
          </a:ln>
        </xdr:spPr>
        <xdr:txBody>
          <a:bodyPr vertOverflow="clip" wrap="square">
            <a:spAutoFit/>
          </a:bodyPr>
          <a:p>
            <a:pPr algn="ctr">
              <a:defRPr/>
            </a:pPr>
            <a:r>
              <a:rPr lang="en-US" cap="none" sz="800" b="1" i="0" u="none" baseline="0">
                <a:solidFill>
                  <a:srgbClr val="800000"/>
                </a:solidFill>
              </a:rPr>
              <a:t>definisci
il contesto</a:t>
            </a:r>
          </a:p>
        </xdr:txBody>
      </xdr:sp>
    </xdr:grpSp>
    <xdr:clientData fLocksWithSheet="0"/>
  </xdr:oneCellAnchor>
  <xdr:twoCellAnchor>
    <xdr:from>
      <xdr:col>0</xdr:col>
      <xdr:colOff>161925</xdr:colOff>
      <xdr:row>11</xdr:row>
      <xdr:rowOff>104775</xdr:rowOff>
    </xdr:from>
    <xdr:to>
      <xdr:col>22</xdr:col>
      <xdr:colOff>28575</xdr:colOff>
      <xdr:row>23</xdr:row>
      <xdr:rowOff>95250</xdr:rowOff>
    </xdr:to>
    <xdr:grpSp>
      <xdr:nvGrpSpPr>
        <xdr:cNvPr id="35" name="Group 84"/>
        <xdr:cNvGrpSpPr>
          <a:grpSpLocks/>
        </xdr:cNvGrpSpPr>
      </xdr:nvGrpSpPr>
      <xdr:grpSpPr>
        <a:xfrm>
          <a:off x="161925" y="2286000"/>
          <a:ext cx="6696075" cy="4143375"/>
          <a:chOff x="17" y="246"/>
          <a:chExt cx="703" cy="169"/>
        </a:xfrm>
        <a:solidFill>
          <a:srgbClr val="FFFFFF"/>
        </a:solidFill>
      </xdr:grpSpPr>
      <xdr:sp>
        <xdr:nvSpPr>
          <xdr:cNvPr id="36" name="Oval 51"/>
          <xdr:cNvSpPr>
            <a:spLocks/>
          </xdr:cNvSpPr>
        </xdr:nvSpPr>
        <xdr:spPr>
          <a:xfrm>
            <a:off x="17" y="298"/>
            <a:ext cx="59" cy="65"/>
          </a:xfrm>
          <a:prstGeom prst="ellipse">
            <a:avLst/>
          </a:prstGeom>
          <a:solidFill>
            <a:srgbClr val="960E11"/>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7" name="AutoShape 52"/>
          <xdr:cNvSpPr>
            <a:spLocks/>
          </xdr:cNvSpPr>
        </xdr:nvSpPr>
        <xdr:spPr>
          <a:xfrm>
            <a:off x="76" y="331"/>
            <a:ext cx="23" cy="0"/>
          </a:xfrm>
          <a:prstGeom prst="straightConnector1">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38" name="TextBox 53"/>
          <xdr:cNvSpPr txBox="1">
            <a:spLocks noChangeArrowheads="1"/>
          </xdr:cNvSpPr>
        </xdr:nvSpPr>
        <xdr:spPr>
          <a:xfrm>
            <a:off x="18" y="318"/>
            <a:ext cx="55" cy="23"/>
          </a:xfrm>
          <a:prstGeom prst="rect">
            <a:avLst/>
          </a:prstGeom>
          <a:noFill/>
          <a:ln w="9525" cmpd="sng">
            <a:noFill/>
          </a:ln>
        </xdr:spPr>
        <xdr:txBody>
          <a:bodyPr vertOverflow="clip" wrap="square">
            <a:spAutoFit/>
          </a:bodyPr>
          <a:p>
            <a:pPr algn="l">
              <a:defRPr/>
            </a:pPr>
            <a:r>
              <a:rPr lang="en-US" cap="none" sz="1200" b="1" i="0" u="none" baseline="0">
                <a:solidFill>
                  <a:srgbClr val="F5E2BE"/>
                </a:solidFill>
              </a:rPr>
              <a:t>Home</a:t>
            </a:r>
          </a:p>
        </xdr:txBody>
      </xdr:sp>
      <xdr:sp>
        <xdr:nvSpPr>
          <xdr:cNvPr id="39" name="Rectangle 58"/>
          <xdr:cNvSpPr>
            <a:spLocks/>
          </xdr:cNvSpPr>
        </xdr:nvSpPr>
        <xdr:spPr>
          <a:xfrm>
            <a:off x="99" y="305"/>
            <a:ext cx="106" cy="51"/>
          </a:xfrm>
          <a:prstGeom prst="roundRect">
            <a:avLst/>
          </a:prstGeom>
          <a:solidFill>
            <a:srgbClr val="FF8080"/>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contesto</a:t>
            </a:r>
          </a:p>
        </xdr:txBody>
      </xdr:sp>
      <xdr:sp>
        <xdr:nvSpPr>
          <xdr:cNvPr id="40" name="Rectangle 64"/>
          <xdr:cNvSpPr>
            <a:spLocks/>
          </xdr:cNvSpPr>
        </xdr:nvSpPr>
        <xdr:spPr>
          <a:xfrm>
            <a:off x="614" y="305"/>
            <a:ext cx="106" cy="51"/>
          </a:xfrm>
          <a:prstGeom prst="roundRect">
            <a:avLst/>
          </a:prstGeom>
          <a:solidFill>
            <a:srgbClr val="FF8080"/>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riepilogo</a:t>
            </a:r>
          </a:p>
        </xdr:txBody>
      </xdr:sp>
      <xdr:sp>
        <xdr:nvSpPr>
          <xdr:cNvPr id="41" name="Rectangle 65"/>
          <xdr:cNvSpPr>
            <a:spLocks/>
          </xdr:cNvSpPr>
        </xdr:nvSpPr>
        <xdr:spPr>
          <a:xfrm>
            <a:off x="234" y="305"/>
            <a:ext cx="106" cy="51"/>
          </a:xfrm>
          <a:prstGeom prst="roundRect">
            <a:avLst/>
          </a:prstGeom>
          <a:solidFill>
            <a:srgbClr val="FF8080"/>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scelta del modello</a:t>
            </a:r>
          </a:p>
        </xdr:txBody>
      </xdr:sp>
      <xdr:sp>
        <xdr:nvSpPr>
          <xdr:cNvPr id="42" name="AutoShape 67"/>
          <xdr:cNvSpPr>
            <a:spLocks/>
          </xdr:cNvSpPr>
        </xdr:nvSpPr>
        <xdr:spPr>
          <a:xfrm>
            <a:off x="205" y="331"/>
            <a:ext cx="29" cy="0"/>
          </a:xfrm>
          <a:prstGeom prst="straightConnector1">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grpSp>
        <xdr:nvGrpSpPr>
          <xdr:cNvPr id="43" name="Group 78"/>
          <xdr:cNvGrpSpPr>
            <a:grpSpLocks/>
          </xdr:cNvGrpSpPr>
        </xdr:nvGrpSpPr>
        <xdr:grpSpPr>
          <a:xfrm>
            <a:off x="437" y="246"/>
            <a:ext cx="127" cy="169"/>
            <a:chOff x="429" y="260"/>
            <a:chExt cx="127" cy="171"/>
          </a:xfrm>
          <a:solidFill>
            <a:srgbClr val="FFFFFF"/>
          </a:solidFill>
        </xdr:grpSpPr>
        <xdr:sp>
          <xdr:nvSpPr>
            <xdr:cNvPr id="44" name="Rectangle 59"/>
            <xdr:cNvSpPr>
              <a:spLocks/>
            </xdr:cNvSpPr>
          </xdr:nvSpPr>
          <xdr:spPr>
            <a:xfrm>
              <a:off x="429" y="260"/>
              <a:ext cx="126" cy="50"/>
            </a:xfrm>
            <a:prstGeom prst="roundRect">
              <a:avLst/>
            </a:prstGeom>
            <a:solidFill>
              <a:srgbClr val="F5E2BE"/>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bottom-up</a:t>
              </a:r>
            </a:p>
          </xdr:txBody>
        </xdr:sp>
        <xdr:sp>
          <xdr:nvSpPr>
            <xdr:cNvPr id="45" name="Rectangle 69"/>
            <xdr:cNvSpPr>
              <a:spLocks/>
            </xdr:cNvSpPr>
          </xdr:nvSpPr>
          <xdr:spPr>
            <a:xfrm>
              <a:off x="430" y="319"/>
              <a:ext cx="126" cy="51"/>
            </a:xfrm>
            <a:prstGeom prst="roundRect">
              <a:avLst/>
            </a:prstGeom>
            <a:solidFill>
              <a:srgbClr val="F5E2BE"/>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benchmark</a:t>
              </a:r>
            </a:p>
          </xdr:txBody>
        </xdr:sp>
        <xdr:sp>
          <xdr:nvSpPr>
            <xdr:cNvPr id="46" name="Rectangle 70"/>
            <xdr:cNvSpPr>
              <a:spLocks/>
            </xdr:cNvSpPr>
          </xdr:nvSpPr>
          <xdr:spPr>
            <a:xfrm>
              <a:off x="429" y="381"/>
              <a:ext cx="126" cy="50"/>
            </a:xfrm>
            <a:prstGeom prst="roundRect">
              <a:avLst/>
            </a:prstGeom>
            <a:solidFill>
              <a:srgbClr val="F5E2BE"/>
            </a:solidFill>
            <a:ln w="9525" cmpd="sng">
              <a:solidFill>
                <a:srgbClr val="960E11"/>
              </a:solidFill>
              <a:headEnd type="none"/>
              <a:tailEnd type="none"/>
            </a:ln>
          </xdr:spPr>
          <xdr:txBody>
            <a:bodyPr vertOverflow="clip" wrap="square" anchor="ctr"/>
            <a:p>
              <a:pPr algn="ctr">
                <a:defRPr/>
              </a:pPr>
              <a:r>
                <a:rPr lang="en-US" cap="none" sz="800" b="1" i="0" u="none" baseline="0">
                  <a:solidFill>
                    <a:srgbClr val="960E11"/>
                  </a:solidFill>
                </a:rPr>
                <a:t>top-down</a:t>
              </a:r>
            </a:p>
          </xdr:txBody>
        </xdr:sp>
      </xdr:grpSp>
      <xdr:sp>
        <xdr:nvSpPr>
          <xdr:cNvPr id="47" name="AutoShape 71"/>
          <xdr:cNvSpPr>
            <a:spLocks/>
          </xdr:cNvSpPr>
        </xdr:nvSpPr>
        <xdr:spPr>
          <a:xfrm flipV="1">
            <a:off x="340" y="271"/>
            <a:ext cx="97" cy="60"/>
          </a:xfrm>
          <a:prstGeom prst="bentConnector3">
            <a:avLst>
              <a:gd name="adj1" fmla="val 49486"/>
              <a:gd name="adj2" fmla="val 575000"/>
              <a:gd name="adj3" fmla="val -350513"/>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48" name="AutoShape 72"/>
          <xdr:cNvSpPr>
            <a:spLocks/>
          </xdr:cNvSpPr>
        </xdr:nvSpPr>
        <xdr:spPr>
          <a:xfrm>
            <a:off x="340" y="331"/>
            <a:ext cx="98" cy="0"/>
          </a:xfrm>
          <a:prstGeom prst="straightConnector1">
            <a:avLst>
              <a:gd name="adj1" fmla="val -396939"/>
              <a:gd name="adj2" fmla="val -50004"/>
              <a:gd name="adj3" fmla="val -396939"/>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49" name="AutoShape 73"/>
          <xdr:cNvSpPr>
            <a:spLocks/>
          </xdr:cNvSpPr>
        </xdr:nvSpPr>
        <xdr:spPr>
          <a:xfrm>
            <a:off x="340" y="331"/>
            <a:ext cx="97" cy="59"/>
          </a:xfrm>
          <a:prstGeom prst="bentConnector3">
            <a:avLst>
              <a:gd name="adj1" fmla="val 49486"/>
              <a:gd name="adj2" fmla="val -565574"/>
              <a:gd name="adj3" fmla="val -350513"/>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50" name="AutoShape 74"/>
          <xdr:cNvSpPr>
            <a:spLocks/>
          </xdr:cNvSpPr>
        </xdr:nvSpPr>
        <xdr:spPr>
          <a:xfrm>
            <a:off x="563" y="271"/>
            <a:ext cx="51" cy="60"/>
          </a:xfrm>
          <a:prstGeom prst="bentConnector3">
            <a:avLst>
              <a:gd name="adj1" fmla="val 49018"/>
              <a:gd name="adj2" fmla="val -475000"/>
              <a:gd name="adj3" fmla="val -1103921"/>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51" name="AutoShape 75"/>
          <xdr:cNvSpPr>
            <a:spLocks/>
          </xdr:cNvSpPr>
        </xdr:nvSpPr>
        <xdr:spPr>
          <a:xfrm>
            <a:off x="564" y="331"/>
            <a:ext cx="50" cy="0"/>
          </a:xfrm>
          <a:prstGeom prst="straightConnector1">
            <a:avLst>
              <a:gd name="adj1" fmla="val -1178000"/>
              <a:gd name="adj2" fmla="val -50004"/>
              <a:gd name="adj3" fmla="val -1178000"/>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52" name="AutoShape 76"/>
          <xdr:cNvSpPr>
            <a:spLocks/>
          </xdr:cNvSpPr>
        </xdr:nvSpPr>
        <xdr:spPr>
          <a:xfrm flipV="1">
            <a:off x="563" y="331"/>
            <a:ext cx="51" cy="59"/>
          </a:xfrm>
          <a:prstGeom prst="bentConnector3">
            <a:avLst>
              <a:gd name="adj1" fmla="val 49018"/>
              <a:gd name="adj2" fmla="val 665574"/>
              <a:gd name="adj3" fmla="val -1103921"/>
            </a:avLst>
          </a:prstGeom>
          <a:noFill/>
          <a:ln w="1905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grpSp>
    <xdr:clientData/>
  </xdr:twoCellAnchor>
  <xdr:oneCellAnchor>
    <xdr:from>
      <xdr:col>16</xdr:col>
      <xdr:colOff>209550</xdr:colOff>
      <xdr:row>28</xdr:row>
      <xdr:rowOff>1114425</xdr:rowOff>
    </xdr:from>
    <xdr:ext cx="200025" cy="2581275"/>
    <xdr:sp>
      <xdr:nvSpPr>
        <xdr:cNvPr id="53" name="Oval 83">
          <a:hlinkClick r:id="rId9"/>
        </xdr:cNvPr>
        <xdr:cNvSpPr>
          <a:spLocks/>
        </xdr:cNvSpPr>
      </xdr:nvSpPr>
      <xdr:spPr>
        <a:xfrm>
          <a:off x="5095875" y="8172450"/>
          <a:ext cx="200025" cy="258127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2</xdr:row>
      <xdr:rowOff>0</xdr:rowOff>
    </xdr:from>
    <xdr:to>
      <xdr:col>11</xdr:col>
      <xdr:colOff>9525</xdr:colOff>
      <xdr:row>2</xdr:row>
      <xdr:rowOff>0</xdr:rowOff>
    </xdr:to>
    <xdr:sp macro="[2]!Apri_Sottosezione_1">
      <xdr:nvSpPr>
        <xdr:cNvPr id="1" name="Rectangle 1"/>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
      <xdr:nvSpPr>
        <xdr:cNvPr id="2" name="Rectangle 2"/>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3">
      <xdr:nvSpPr>
        <xdr:cNvPr id="3" name="Rectangle 3"/>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4">
      <xdr:nvSpPr>
        <xdr:cNvPr id="4" name="Rectangle 4"/>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5">
      <xdr:nvSpPr>
        <xdr:cNvPr id="5" name="Rectangle 5"/>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6">
      <xdr:nvSpPr>
        <xdr:cNvPr id="6" name="Rectangle 6"/>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7">
      <xdr:nvSpPr>
        <xdr:cNvPr id="7" name="Rectangle 7"/>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8">
      <xdr:nvSpPr>
        <xdr:cNvPr id="8" name="Rectangle 8"/>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9">
      <xdr:nvSpPr>
        <xdr:cNvPr id="9" name="Rectangle 9"/>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0">
      <xdr:nvSpPr>
        <xdr:cNvPr id="10" name="Rectangle 10"/>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1">
      <xdr:nvSpPr>
        <xdr:cNvPr id="11" name="Rectangle 11"/>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2">
      <xdr:nvSpPr>
        <xdr:cNvPr id="12" name="Rectangle 12"/>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3">
      <xdr:nvSpPr>
        <xdr:cNvPr id="13" name="Rectangle 13"/>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4">
      <xdr:nvSpPr>
        <xdr:cNvPr id="14" name="Rectangle 14"/>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5">
      <xdr:nvSpPr>
        <xdr:cNvPr id="15" name="Rectangle 15"/>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6">
      <xdr:nvSpPr>
        <xdr:cNvPr id="16" name="Rectangle 16"/>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7">
      <xdr:nvSpPr>
        <xdr:cNvPr id="17" name="Rectangle 17"/>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8">
      <xdr:nvSpPr>
        <xdr:cNvPr id="18" name="Rectangle 18"/>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19">
      <xdr:nvSpPr>
        <xdr:cNvPr id="19" name="Rectangle 19"/>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0">
      <xdr:nvSpPr>
        <xdr:cNvPr id="20" name="Rectangle 20"/>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1">
      <xdr:nvSpPr>
        <xdr:cNvPr id="21" name="Rectangle 21"/>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2">
      <xdr:nvSpPr>
        <xdr:cNvPr id="22" name="Rectangle 22"/>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3">
      <xdr:nvSpPr>
        <xdr:cNvPr id="23" name="Rectangle 23"/>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4">
      <xdr:nvSpPr>
        <xdr:cNvPr id="24" name="Rectangle 24"/>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76200</xdr:colOff>
      <xdr:row>2</xdr:row>
      <xdr:rowOff>0</xdr:rowOff>
    </xdr:from>
    <xdr:to>
      <xdr:col>11</xdr:col>
      <xdr:colOff>9525</xdr:colOff>
      <xdr:row>2</xdr:row>
      <xdr:rowOff>0</xdr:rowOff>
    </xdr:to>
    <xdr:sp macro="[2]!Apri_Sottosezione_25">
      <xdr:nvSpPr>
        <xdr:cNvPr id="25" name="Rectangle 25"/>
        <xdr:cNvSpPr>
          <a:spLocks/>
        </xdr:cNvSpPr>
      </xdr:nvSpPr>
      <xdr:spPr>
        <a:xfrm>
          <a:off x="6629400" y="885825"/>
          <a:ext cx="5238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2</xdr:row>
      <xdr:rowOff>0</xdr:rowOff>
    </xdr:from>
    <xdr:to>
      <xdr:col>12</xdr:col>
      <xdr:colOff>0</xdr:colOff>
      <xdr:row>2</xdr:row>
      <xdr:rowOff>0</xdr:rowOff>
    </xdr:to>
    <xdr:graphicFrame>
      <xdr:nvGraphicFramePr>
        <xdr:cNvPr id="26" name="Chart 31"/>
        <xdr:cNvGraphicFramePr/>
      </xdr:nvGraphicFramePr>
      <xdr:xfrm>
        <a:off x="7658100" y="88582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2</xdr:row>
      <xdr:rowOff>0</xdr:rowOff>
    </xdr:from>
    <xdr:to>
      <xdr:col>12</xdr:col>
      <xdr:colOff>0</xdr:colOff>
      <xdr:row>2</xdr:row>
      <xdr:rowOff>0</xdr:rowOff>
    </xdr:to>
    <xdr:graphicFrame>
      <xdr:nvGraphicFramePr>
        <xdr:cNvPr id="27" name="Chart 32"/>
        <xdr:cNvGraphicFramePr/>
      </xdr:nvGraphicFramePr>
      <xdr:xfrm>
        <a:off x="7658100" y="885825"/>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2</xdr:row>
      <xdr:rowOff>0</xdr:rowOff>
    </xdr:from>
    <xdr:to>
      <xdr:col>12</xdr:col>
      <xdr:colOff>0</xdr:colOff>
      <xdr:row>2</xdr:row>
      <xdr:rowOff>0</xdr:rowOff>
    </xdr:to>
    <xdr:graphicFrame>
      <xdr:nvGraphicFramePr>
        <xdr:cNvPr id="28" name="Chart 33"/>
        <xdr:cNvGraphicFramePr/>
      </xdr:nvGraphicFramePr>
      <xdr:xfrm>
        <a:off x="7658100" y="885825"/>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2</xdr:row>
      <xdr:rowOff>0</xdr:rowOff>
    </xdr:from>
    <xdr:to>
      <xdr:col>12</xdr:col>
      <xdr:colOff>0</xdr:colOff>
      <xdr:row>2</xdr:row>
      <xdr:rowOff>0</xdr:rowOff>
    </xdr:to>
    <xdr:graphicFrame>
      <xdr:nvGraphicFramePr>
        <xdr:cNvPr id="29" name="Chart 34"/>
        <xdr:cNvGraphicFramePr/>
      </xdr:nvGraphicFramePr>
      <xdr:xfrm>
        <a:off x="7658100" y="885825"/>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2</xdr:row>
      <xdr:rowOff>0</xdr:rowOff>
    </xdr:from>
    <xdr:to>
      <xdr:col>12</xdr:col>
      <xdr:colOff>0</xdr:colOff>
      <xdr:row>2</xdr:row>
      <xdr:rowOff>0</xdr:rowOff>
    </xdr:to>
    <xdr:graphicFrame>
      <xdr:nvGraphicFramePr>
        <xdr:cNvPr id="30" name="Chart 35"/>
        <xdr:cNvGraphicFramePr/>
      </xdr:nvGraphicFramePr>
      <xdr:xfrm>
        <a:off x="7658100" y="885825"/>
        <a:ext cx="0" cy="0"/>
      </xdr:xfrm>
      <a:graphic>
        <a:graphicData uri="http://schemas.openxmlformats.org/drawingml/2006/chart">
          <c:chart xmlns:c="http://schemas.openxmlformats.org/drawingml/2006/chart" r:id="rId5"/>
        </a:graphicData>
      </a:graphic>
    </xdr:graphicFrame>
    <xdr:clientData/>
  </xdr:twoCellAnchor>
  <xdr:twoCellAnchor>
    <xdr:from>
      <xdr:col>7</xdr:col>
      <xdr:colOff>171450</xdr:colOff>
      <xdr:row>2</xdr:row>
      <xdr:rowOff>0</xdr:rowOff>
    </xdr:from>
    <xdr:to>
      <xdr:col>12</xdr:col>
      <xdr:colOff>0</xdr:colOff>
      <xdr:row>2</xdr:row>
      <xdr:rowOff>0</xdr:rowOff>
    </xdr:to>
    <xdr:graphicFrame>
      <xdr:nvGraphicFramePr>
        <xdr:cNvPr id="31" name="Chart 36"/>
        <xdr:cNvGraphicFramePr/>
      </xdr:nvGraphicFramePr>
      <xdr:xfrm>
        <a:off x="4981575" y="885825"/>
        <a:ext cx="2676525"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7</xdr:row>
      <xdr:rowOff>0</xdr:rowOff>
    </xdr:from>
    <xdr:to>
      <xdr:col>12</xdr:col>
      <xdr:colOff>0</xdr:colOff>
      <xdr:row>7</xdr:row>
      <xdr:rowOff>0</xdr:rowOff>
    </xdr:to>
    <xdr:graphicFrame>
      <xdr:nvGraphicFramePr>
        <xdr:cNvPr id="32" name="Chart 37"/>
        <xdr:cNvGraphicFramePr/>
      </xdr:nvGraphicFramePr>
      <xdr:xfrm>
        <a:off x="7658100" y="1647825"/>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7</xdr:row>
      <xdr:rowOff>0</xdr:rowOff>
    </xdr:from>
    <xdr:to>
      <xdr:col>12</xdr:col>
      <xdr:colOff>0</xdr:colOff>
      <xdr:row>7</xdr:row>
      <xdr:rowOff>0</xdr:rowOff>
    </xdr:to>
    <xdr:graphicFrame>
      <xdr:nvGraphicFramePr>
        <xdr:cNvPr id="33" name="Chart 38"/>
        <xdr:cNvGraphicFramePr/>
      </xdr:nvGraphicFramePr>
      <xdr:xfrm>
        <a:off x="7658100" y="1647825"/>
        <a:ext cx="0" cy="0"/>
      </xdr:xfrm>
      <a:graphic>
        <a:graphicData uri="http://schemas.openxmlformats.org/drawingml/2006/chart">
          <c:chart xmlns:c="http://schemas.openxmlformats.org/drawingml/2006/chart" r:id="rId8"/>
        </a:graphicData>
      </a:graphic>
    </xdr:graphicFrame>
    <xdr:clientData/>
  </xdr:twoCellAnchor>
  <xdr:oneCellAnchor>
    <xdr:from>
      <xdr:col>2</xdr:col>
      <xdr:colOff>19050</xdr:colOff>
      <xdr:row>27</xdr:row>
      <xdr:rowOff>133350</xdr:rowOff>
    </xdr:from>
    <xdr:ext cx="981075" cy="371475"/>
    <xdr:grpSp>
      <xdr:nvGrpSpPr>
        <xdr:cNvPr id="34" name="Group 129">
          <a:hlinkClick r:id="rId9"/>
        </xdr:cNvPr>
        <xdr:cNvGrpSpPr>
          <a:grpSpLocks/>
        </xdr:cNvGrpSpPr>
      </xdr:nvGrpSpPr>
      <xdr:grpSpPr>
        <a:xfrm>
          <a:off x="485775" y="4838700"/>
          <a:ext cx="981075" cy="371475"/>
          <a:chOff x="51" y="507"/>
          <a:chExt cx="103" cy="39"/>
        </a:xfrm>
        <a:solidFill>
          <a:srgbClr val="FFFFFF"/>
        </a:solidFill>
      </xdr:grpSpPr>
      <xdr:sp>
        <xdr:nvSpPr>
          <xdr:cNvPr id="35" name="Rectangle 90"/>
          <xdr:cNvSpPr>
            <a:spLocks/>
          </xdr:cNvSpPr>
        </xdr:nvSpPr>
        <xdr:spPr>
          <a:xfrm>
            <a:off x="51" y="507"/>
            <a:ext cx="103" cy="39"/>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6" name="TextBox 91"/>
          <xdr:cNvSpPr txBox="1">
            <a:spLocks noChangeArrowheads="1"/>
          </xdr:cNvSpPr>
        </xdr:nvSpPr>
        <xdr:spPr>
          <a:xfrm>
            <a:off x="78" y="520"/>
            <a:ext cx="40" cy="19"/>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fLocksWithSheet="0"/>
  </xdr:oneCellAnchor>
  <xdr:oneCellAnchor>
    <xdr:from>
      <xdr:col>3</xdr:col>
      <xdr:colOff>361950</xdr:colOff>
      <xdr:row>27</xdr:row>
      <xdr:rowOff>133350</xdr:rowOff>
    </xdr:from>
    <xdr:ext cx="981075" cy="371475"/>
    <xdr:grpSp>
      <xdr:nvGrpSpPr>
        <xdr:cNvPr id="37" name="Group 130">
          <a:hlinkClick r:id="rId10"/>
        </xdr:cNvPr>
        <xdr:cNvGrpSpPr>
          <a:grpSpLocks/>
        </xdr:cNvGrpSpPr>
      </xdr:nvGrpSpPr>
      <xdr:grpSpPr>
        <a:xfrm>
          <a:off x="1628775" y="4838700"/>
          <a:ext cx="981075" cy="371475"/>
          <a:chOff x="171" y="507"/>
          <a:chExt cx="103" cy="39"/>
        </a:xfrm>
        <a:solidFill>
          <a:srgbClr val="FFFFFF"/>
        </a:solidFill>
      </xdr:grpSpPr>
      <xdr:sp>
        <xdr:nvSpPr>
          <xdr:cNvPr id="38" name="Rectangle 93"/>
          <xdr:cNvSpPr>
            <a:spLocks/>
          </xdr:cNvSpPr>
        </xdr:nvSpPr>
        <xdr:spPr>
          <a:xfrm>
            <a:off x="171" y="507"/>
            <a:ext cx="103" cy="39"/>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9" name="TextBox 94"/>
          <xdr:cNvSpPr txBox="1">
            <a:spLocks noChangeArrowheads="1"/>
          </xdr:cNvSpPr>
        </xdr:nvSpPr>
        <xdr:spPr>
          <a:xfrm>
            <a:off x="191" y="511"/>
            <a:ext cx="53"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scegli il
modello</a:t>
            </a:r>
          </a:p>
        </xdr:txBody>
      </xdr:sp>
    </xdr:grpSp>
    <xdr:clientData fLocksWithSheet="0"/>
  </xdr:oneCellAnchor>
  <xdr:oneCellAnchor>
    <xdr:from>
      <xdr:col>4</xdr:col>
      <xdr:colOff>85725</xdr:colOff>
      <xdr:row>27</xdr:row>
      <xdr:rowOff>142875</xdr:rowOff>
    </xdr:from>
    <xdr:ext cx="981075" cy="371475"/>
    <xdr:grpSp>
      <xdr:nvGrpSpPr>
        <xdr:cNvPr id="40" name="Group 112">
          <a:hlinkClick r:id="rId11"/>
        </xdr:cNvPr>
        <xdr:cNvGrpSpPr>
          <a:grpSpLocks/>
        </xdr:cNvGrpSpPr>
      </xdr:nvGrpSpPr>
      <xdr:grpSpPr>
        <a:xfrm>
          <a:off x="2800350" y="4848225"/>
          <a:ext cx="981075" cy="371475"/>
          <a:chOff x="294" y="560"/>
          <a:chExt cx="103" cy="42"/>
        </a:xfrm>
        <a:solidFill>
          <a:srgbClr val="FFFFFF"/>
        </a:solidFill>
      </xdr:grpSpPr>
      <xdr:sp>
        <xdr:nvSpPr>
          <xdr:cNvPr id="41" name="Rectangle 99"/>
          <xdr:cNvSpPr>
            <a:spLocks/>
          </xdr:cNvSpPr>
        </xdr:nvSpPr>
        <xdr:spPr>
          <a:xfrm>
            <a:off x="294"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2" name="TextBox 100"/>
          <xdr:cNvSpPr txBox="1">
            <a:spLocks noChangeArrowheads="1"/>
          </xdr:cNvSpPr>
        </xdr:nvSpPr>
        <xdr:spPr>
          <a:xfrm>
            <a:off x="305" y="563"/>
            <a:ext cx="66" cy="37"/>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bottom-up</a:t>
            </a:r>
          </a:p>
        </xdr:txBody>
      </xdr:sp>
    </xdr:grpSp>
    <xdr:clientData fLocksWithSheet="0"/>
  </xdr:oneCellAnchor>
  <xdr:oneCellAnchor>
    <xdr:from>
      <xdr:col>5</xdr:col>
      <xdr:colOff>200025</xdr:colOff>
      <xdr:row>27</xdr:row>
      <xdr:rowOff>142875</xdr:rowOff>
    </xdr:from>
    <xdr:ext cx="981075" cy="371475"/>
    <xdr:grpSp>
      <xdr:nvGrpSpPr>
        <xdr:cNvPr id="43" name="Group 113">
          <a:hlinkClick r:id="rId12"/>
        </xdr:cNvPr>
        <xdr:cNvGrpSpPr>
          <a:grpSpLocks/>
        </xdr:cNvGrpSpPr>
      </xdr:nvGrpSpPr>
      <xdr:grpSpPr>
        <a:xfrm>
          <a:off x="3933825" y="4848225"/>
          <a:ext cx="981075" cy="371475"/>
          <a:chOff x="413" y="560"/>
          <a:chExt cx="103" cy="42"/>
        </a:xfrm>
        <a:solidFill>
          <a:srgbClr val="FFFFFF"/>
        </a:solidFill>
      </xdr:grpSpPr>
      <xdr:sp>
        <xdr:nvSpPr>
          <xdr:cNvPr id="44" name="Rectangle 102"/>
          <xdr:cNvSpPr>
            <a:spLocks/>
          </xdr:cNvSpPr>
        </xdr:nvSpPr>
        <xdr:spPr>
          <a:xfrm>
            <a:off x="413"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5" name="TextBox 103"/>
          <xdr:cNvSpPr txBox="1">
            <a:spLocks noChangeArrowheads="1"/>
          </xdr:cNvSpPr>
        </xdr:nvSpPr>
        <xdr:spPr>
          <a:xfrm>
            <a:off x="425" y="563"/>
            <a:ext cx="71" cy="37"/>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benchmark</a:t>
            </a:r>
          </a:p>
        </xdr:txBody>
      </xdr:sp>
    </xdr:grpSp>
    <xdr:clientData fLocksWithSheet="0"/>
  </xdr:oneCellAnchor>
  <xdr:oneCellAnchor>
    <xdr:from>
      <xdr:col>7</xdr:col>
      <xdr:colOff>238125</xdr:colOff>
      <xdr:row>28</xdr:row>
      <xdr:rowOff>0</xdr:rowOff>
    </xdr:from>
    <xdr:ext cx="981075" cy="381000"/>
    <xdr:grpSp>
      <xdr:nvGrpSpPr>
        <xdr:cNvPr id="46" name="Group 114">
          <a:hlinkClick r:id="rId13"/>
        </xdr:cNvPr>
        <xdr:cNvGrpSpPr>
          <a:grpSpLocks/>
        </xdr:cNvGrpSpPr>
      </xdr:nvGrpSpPr>
      <xdr:grpSpPr>
        <a:xfrm>
          <a:off x="5048250" y="4857750"/>
          <a:ext cx="981075" cy="381000"/>
          <a:chOff x="530" y="560"/>
          <a:chExt cx="103" cy="43"/>
        </a:xfrm>
        <a:solidFill>
          <a:srgbClr val="FFFFFF"/>
        </a:solidFill>
      </xdr:grpSpPr>
      <xdr:sp>
        <xdr:nvSpPr>
          <xdr:cNvPr id="47" name="Rectangle 105"/>
          <xdr:cNvSpPr>
            <a:spLocks/>
          </xdr:cNvSpPr>
        </xdr:nvSpPr>
        <xdr:spPr>
          <a:xfrm>
            <a:off x="530"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8" name="TextBox 106"/>
          <xdr:cNvSpPr txBox="1">
            <a:spLocks noChangeArrowheads="1"/>
          </xdr:cNvSpPr>
        </xdr:nvSpPr>
        <xdr:spPr>
          <a:xfrm>
            <a:off x="547" y="566"/>
            <a:ext cx="61" cy="37"/>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top-down</a:t>
            </a:r>
          </a:p>
        </xdr:txBody>
      </xdr:sp>
    </xdr:grpSp>
    <xdr:clientData fLocksWithSheet="0"/>
  </xdr:oneCellAnchor>
  <xdr:oneCellAnchor>
    <xdr:from>
      <xdr:col>9</xdr:col>
      <xdr:colOff>209550</xdr:colOff>
      <xdr:row>27</xdr:row>
      <xdr:rowOff>133350</xdr:rowOff>
    </xdr:from>
    <xdr:ext cx="962025" cy="371475"/>
    <xdr:grpSp>
      <xdr:nvGrpSpPr>
        <xdr:cNvPr id="49" name="Group 132">
          <a:hlinkClick r:id="rId14"/>
        </xdr:cNvPr>
        <xdr:cNvGrpSpPr>
          <a:grpSpLocks/>
        </xdr:cNvGrpSpPr>
      </xdr:nvGrpSpPr>
      <xdr:grpSpPr>
        <a:xfrm>
          <a:off x="6181725" y="4838700"/>
          <a:ext cx="962025" cy="371475"/>
          <a:chOff x="649" y="507"/>
          <a:chExt cx="101" cy="39"/>
        </a:xfrm>
        <a:solidFill>
          <a:srgbClr val="FFFFFF"/>
        </a:solidFill>
      </xdr:grpSpPr>
      <xdr:sp>
        <xdr:nvSpPr>
          <xdr:cNvPr id="50" name="Rectangle 108">
            <a:hlinkClick r:id="rId15"/>
          </xdr:cNvPr>
          <xdr:cNvSpPr>
            <a:spLocks/>
          </xdr:cNvSpPr>
        </xdr:nvSpPr>
        <xdr:spPr>
          <a:xfrm>
            <a:off x="649" y="507"/>
            <a:ext cx="101" cy="39"/>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1" name="TextBox 109"/>
          <xdr:cNvSpPr txBox="1">
            <a:spLocks noChangeArrowheads="1"/>
          </xdr:cNvSpPr>
        </xdr:nvSpPr>
        <xdr:spPr>
          <a:xfrm>
            <a:off x="665" y="511"/>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al
riepilogo</a:t>
            </a:r>
          </a:p>
        </xdr:txBody>
      </xdr:sp>
    </xdr:grpSp>
    <xdr:clientData fLocksWithSheet="0"/>
  </xdr:oneCellAnchor>
  <xdr:oneCellAnchor>
    <xdr:from>
      <xdr:col>0</xdr:col>
      <xdr:colOff>47625</xdr:colOff>
      <xdr:row>4</xdr:row>
      <xdr:rowOff>123825</xdr:rowOff>
    </xdr:from>
    <xdr:ext cx="200025" cy="200025"/>
    <xdr:sp>
      <xdr:nvSpPr>
        <xdr:cNvPr id="52" name="Oval 134">
          <a:hlinkClick r:id="rId16"/>
        </xdr:cNvPr>
        <xdr:cNvSpPr>
          <a:spLocks/>
        </xdr:cNvSpPr>
      </xdr:nvSpPr>
      <xdr:spPr>
        <a:xfrm>
          <a:off x="47625" y="13144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11</xdr:row>
      <xdr:rowOff>0</xdr:rowOff>
    </xdr:from>
    <xdr:ext cx="200025" cy="200025"/>
    <xdr:sp>
      <xdr:nvSpPr>
        <xdr:cNvPr id="53" name="Oval 135">
          <a:hlinkClick r:id="rId17"/>
        </xdr:cNvPr>
        <xdr:cNvSpPr>
          <a:spLocks/>
        </xdr:cNvSpPr>
      </xdr:nvSpPr>
      <xdr:spPr>
        <a:xfrm>
          <a:off x="38100" y="22574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17</xdr:row>
      <xdr:rowOff>133350</xdr:rowOff>
    </xdr:from>
    <xdr:ext cx="200025" cy="200025"/>
    <xdr:sp>
      <xdr:nvSpPr>
        <xdr:cNvPr id="54" name="Oval 136">
          <a:hlinkClick r:id="rId18"/>
        </xdr:cNvPr>
        <xdr:cNvSpPr>
          <a:spLocks/>
        </xdr:cNvSpPr>
      </xdr:nvSpPr>
      <xdr:spPr>
        <a:xfrm>
          <a:off x="28575" y="33051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xdr:row>
      <xdr:rowOff>0</xdr:rowOff>
    </xdr:from>
    <xdr:to>
      <xdr:col>9</xdr:col>
      <xdr:colOff>9525</xdr:colOff>
      <xdr:row>1</xdr:row>
      <xdr:rowOff>0</xdr:rowOff>
    </xdr:to>
    <xdr:sp macro="[1]!Apri_Sottosezione_1">
      <xdr:nvSpPr>
        <xdr:cNvPr id="1" name="Rectangle 1"/>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
      <xdr:nvSpPr>
        <xdr:cNvPr id="2" name="Rectangle 2"/>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3">
      <xdr:nvSpPr>
        <xdr:cNvPr id="3" name="Rectangle 3"/>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4">
      <xdr:nvSpPr>
        <xdr:cNvPr id="4" name="Rectangle 4"/>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5">
      <xdr:nvSpPr>
        <xdr:cNvPr id="5" name="Rectangle 5"/>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6">
      <xdr:nvSpPr>
        <xdr:cNvPr id="6" name="Rectangle 6"/>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7">
      <xdr:nvSpPr>
        <xdr:cNvPr id="7" name="Rectangle 7"/>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8">
      <xdr:nvSpPr>
        <xdr:cNvPr id="8" name="Rectangle 8"/>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9">
      <xdr:nvSpPr>
        <xdr:cNvPr id="9" name="Rectangle 9"/>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0">
      <xdr:nvSpPr>
        <xdr:cNvPr id="10" name="Rectangle 10"/>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1">
      <xdr:nvSpPr>
        <xdr:cNvPr id="11" name="Rectangle 11"/>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2">
      <xdr:nvSpPr>
        <xdr:cNvPr id="12" name="Rectangle 12"/>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3">
      <xdr:nvSpPr>
        <xdr:cNvPr id="13" name="Rectangle 13"/>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4">
      <xdr:nvSpPr>
        <xdr:cNvPr id="14" name="Rectangle 14"/>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5">
      <xdr:nvSpPr>
        <xdr:cNvPr id="15" name="Rectangle 15"/>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6">
      <xdr:nvSpPr>
        <xdr:cNvPr id="16" name="Rectangle 16"/>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7">
      <xdr:nvSpPr>
        <xdr:cNvPr id="17" name="Rectangle 17"/>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8">
      <xdr:nvSpPr>
        <xdr:cNvPr id="18" name="Rectangle 18"/>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19">
      <xdr:nvSpPr>
        <xdr:cNvPr id="19" name="Rectangle 19"/>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0">
      <xdr:nvSpPr>
        <xdr:cNvPr id="20" name="Rectangle 20"/>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1">
      <xdr:nvSpPr>
        <xdr:cNvPr id="21" name="Rectangle 21"/>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2">
      <xdr:nvSpPr>
        <xdr:cNvPr id="22" name="Rectangle 22"/>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3">
      <xdr:nvSpPr>
        <xdr:cNvPr id="23" name="Rectangle 23"/>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4">
      <xdr:nvSpPr>
        <xdr:cNvPr id="24" name="Rectangle 24"/>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76200</xdr:colOff>
      <xdr:row>1</xdr:row>
      <xdr:rowOff>0</xdr:rowOff>
    </xdr:from>
    <xdr:to>
      <xdr:col>9</xdr:col>
      <xdr:colOff>9525</xdr:colOff>
      <xdr:row>1</xdr:row>
      <xdr:rowOff>0</xdr:rowOff>
    </xdr:to>
    <xdr:sp macro="[1]!Apri_Sottosezione_25">
      <xdr:nvSpPr>
        <xdr:cNvPr id="25" name="Rectangle 25"/>
        <xdr:cNvSpPr>
          <a:spLocks/>
        </xdr:cNvSpPr>
      </xdr:nvSpPr>
      <xdr:spPr>
        <a:xfrm>
          <a:off x="2857500" y="762000"/>
          <a:ext cx="3143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95250</xdr:colOff>
      <xdr:row>1</xdr:row>
      <xdr:rowOff>0</xdr:rowOff>
    </xdr:from>
    <xdr:to>
      <xdr:col>12</xdr:col>
      <xdr:colOff>381000</xdr:colOff>
      <xdr:row>1</xdr:row>
      <xdr:rowOff>0</xdr:rowOff>
    </xdr:to>
    <xdr:graphicFrame>
      <xdr:nvGraphicFramePr>
        <xdr:cNvPr id="26" name="Chart 31"/>
        <xdr:cNvGraphicFramePr/>
      </xdr:nvGraphicFramePr>
      <xdr:xfrm>
        <a:off x="4019550" y="762000"/>
        <a:ext cx="666750" cy="0"/>
      </xdr:xfrm>
      <a:graphic>
        <a:graphicData uri="http://schemas.openxmlformats.org/drawingml/2006/chart">
          <c:chart xmlns:c="http://schemas.openxmlformats.org/drawingml/2006/chart" r:id="rId1"/>
        </a:graphicData>
      </a:graphic>
    </xdr:graphicFrame>
    <xdr:clientData/>
  </xdr:twoCellAnchor>
  <xdr:twoCellAnchor>
    <xdr:from>
      <xdr:col>11</xdr:col>
      <xdr:colOff>95250</xdr:colOff>
      <xdr:row>1</xdr:row>
      <xdr:rowOff>0</xdr:rowOff>
    </xdr:from>
    <xdr:to>
      <xdr:col>12</xdr:col>
      <xdr:colOff>381000</xdr:colOff>
      <xdr:row>1</xdr:row>
      <xdr:rowOff>0</xdr:rowOff>
    </xdr:to>
    <xdr:graphicFrame>
      <xdr:nvGraphicFramePr>
        <xdr:cNvPr id="27" name="Chart 32"/>
        <xdr:cNvGraphicFramePr/>
      </xdr:nvGraphicFramePr>
      <xdr:xfrm>
        <a:off x="4019550" y="762000"/>
        <a:ext cx="666750" cy="0"/>
      </xdr:xfrm>
      <a:graphic>
        <a:graphicData uri="http://schemas.openxmlformats.org/drawingml/2006/chart">
          <c:chart xmlns:c="http://schemas.openxmlformats.org/drawingml/2006/chart" r:id="rId2"/>
        </a:graphicData>
      </a:graphic>
    </xdr:graphicFrame>
    <xdr:clientData/>
  </xdr:twoCellAnchor>
  <xdr:twoCellAnchor>
    <xdr:from>
      <xdr:col>11</xdr:col>
      <xdr:colOff>95250</xdr:colOff>
      <xdr:row>1</xdr:row>
      <xdr:rowOff>0</xdr:rowOff>
    </xdr:from>
    <xdr:to>
      <xdr:col>12</xdr:col>
      <xdr:colOff>381000</xdr:colOff>
      <xdr:row>1</xdr:row>
      <xdr:rowOff>0</xdr:rowOff>
    </xdr:to>
    <xdr:graphicFrame>
      <xdr:nvGraphicFramePr>
        <xdr:cNvPr id="28" name="Chart 33"/>
        <xdr:cNvGraphicFramePr/>
      </xdr:nvGraphicFramePr>
      <xdr:xfrm>
        <a:off x="4019550" y="762000"/>
        <a:ext cx="666750" cy="0"/>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1</xdr:row>
      <xdr:rowOff>0</xdr:rowOff>
    </xdr:from>
    <xdr:to>
      <xdr:col>12</xdr:col>
      <xdr:colOff>381000</xdr:colOff>
      <xdr:row>1</xdr:row>
      <xdr:rowOff>0</xdr:rowOff>
    </xdr:to>
    <xdr:graphicFrame>
      <xdr:nvGraphicFramePr>
        <xdr:cNvPr id="29" name="Chart 34"/>
        <xdr:cNvGraphicFramePr/>
      </xdr:nvGraphicFramePr>
      <xdr:xfrm>
        <a:off x="4019550" y="762000"/>
        <a:ext cx="666750" cy="0"/>
      </xdr:xfrm>
      <a:graphic>
        <a:graphicData uri="http://schemas.openxmlformats.org/drawingml/2006/chart">
          <c:chart xmlns:c="http://schemas.openxmlformats.org/drawingml/2006/chart" r:id="rId4"/>
        </a:graphicData>
      </a:graphic>
    </xdr:graphicFrame>
    <xdr:clientData/>
  </xdr:twoCellAnchor>
  <xdr:twoCellAnchor>
    <xdr:from>
      <xdr:col>11</xdr:col>
      <xdr:colOff>95250</xdr:colOff>
      <xdr:row>1</xdr:row>
      <xdr:rowOff>0</xdr:rowOff>
    </xdr:from>
    <xdr:to>
      <xdr:col>12</xdr:col>
      <xdr:colOff>381000</xdr:colOff>
      <xdr:row>1</xdr:row>
      <xdr:rowOff>0</xdr:rowOff>
    </xdr:to>
    <xdr:graphicFrame>
      <xdr:nvGraphicFramePr>
        <xdr:cNvPr id="30" name="Chart 35"/>
        <xdr:cNvGraphicFramePr/>
      </xdr:nvGraphicFramePr>
      <xdr:xfrm>
        <a:off x="4019550" y="762000"/>
        <a:ext cx="666750" cy="0"/>
      </xdr:xfrm>
      <a:graphic>
        <a:graphicData uri="http://schemas.openxmlformats.org/drawingml/2006/chart">
          <c:chart xmlns:c="http://schemas.openxmlformats.org/drawingml/2006/chart" r:id="rId5"/>
        </a:graphicData>
      </a:graphic>
    </xdr:graphicFrame>
    <xdr:clientData/>
  </xdr:twoCellAnchor>
  <xdr:twoCellAnchor>
    <xdr:from>
      <xdr:col>5</xdr:col>
      <xdr:colOff>171450</xdr:colOff>
      <xdr:row>1</xdr:row>
      <xdr:rowOff>0</xdr:rowOff>
    </xdr:from>
    <xdr:to>
      <xdr:col>10</xdr:col>
      <xdr:colOff>381000</xdr:colOff>
      <xdr:row>1</xdr:row>
      <xdr:rowOff>0</xdr:rowOff>
    </xdr:to>
    <xdr:graphicFrame>
      <xdr:nvGraphicFramePr>
        <xdr:cNvPr id="31" name="Chart 36"/>
        <xdr:cNvGraphicFramePr/>
      </xdr:nvGraphicFramePr>
      <xdr:xfrm>
        <a:off x="1809750" y="762000"/>
        <a:ext cx="2114550" cy="0"/>
      </xdr:xfrm>
      <a:graphic>
        <a:graphicData uri="http://schemas.openxmlformats.org/drawingml/2006/chart">
          <c:chart xmlns:c="http://schemas.openxmlformats.org/drawingml/2006/chart" r:id="rId6"/>
        </a:graphicData>
      </a:graphic>
    </xdr:graphicFrame>
    <xdr:clientData/>
  </xdr:twoCellAnchor>
  <xdr:twoCellAnchor>
    <xdr:from>
      <xdr:col>0</xdr:col>
      <xdr:colOff>85725</xdr:colOff>
      <xdr:row>10</xdr:row>
      <xdr:rowOff>57150</xdr:rowOff>
    </xdr:from>
    <xdr:to>
      <xdr:col>2</xdr:col>
      <xdr:colOff>152400</xdr:colOff>
      <xdr:row>14</xdr:row>
      <xdr:rowOff>47625</xdr:rowOff>
    </xdr:to>
    <xdr:sp>
      <xdr:nvSpPr>
        <xdr:cNvPr id="32" name="Oval 83"/>
        <xdr:cNvSpPr>
          <a:spLocks/>
        </xdr:cNvSpPr>
      </xdr:nvSpPr>
      <xdr:spPr>
        <a:xfrm>
          <a:off x="85725" y="2181225"/>
          <a:ext cx="561975" cy="600075"/>
        </a:xfrm>
        <a:prstGeom prst="ellipse">
          <a:avLst/>
        </a:prstGeom>
        <a:solidFill>
          <a:srgbClr val="FFFFFF"/>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0</xdr:col>
      <xdr:colOff>161925</xdr:colOff>
      <xdr:row>11</xdr:row>
      <xdr:rowOff>114300</xdr:rowOff>
    </xdr:from>
    <xdr:ext cx="342900" cy="190500"/>
    <xdr:sp>
      <xdr:nvSpPr>
        <xdr:cNvPr id="33" name="TextBox 89"/>
        <xdr:cNvSpPr txBox="1">
          <a:spLocks noChangeArrowheads="1"/>
        </xdr:cNvSpPr>
      </xdr:nvSpPr>
      <xdr:spPr>
        <a:xfrm>
          <a:off x="161925" y="2390775"/>
          <a:ext cx="342900" cy="190500"/>
        </a:xfrm>
        <a:prstGeom prst="rect">
          <a:avLst/>
        </a:prstGeom>
        <a:noFill/>
        <a:ln w="9525" cmpd="sng">
          <a:noFill/>
        </a:ln>
      </xdr:spPr>
      <xdr:txBody>
        <a:bodyPr vertOverflow="clip" wrap="square">
          <a:spAutoFit/>
        </a:bodyPr>
        <a:p>
          <a:pPr algn="l">
            <a:defRPr/>
          </a:pPr>
          <a:r>
            <a:rPr lang="en-US" cap="none" sz="900" b="1" i="0" u="none" baseline="0">
              <a:solidFill>
                <a:srgbClr val="800000"/>
              </a:solidFill>
            </a:rPr>
            <a:t>Start</a:t>
          </a:r>
        </a:p>
      </xdr:txBody>
    </xdr:sp>
    <xdr:clientData/>
  </xdr:oneCellAnchor>
  <xdr:oneCellAnchor>
    <xdr:from>
      <xdr:col>3</xdr:col>
      <xdr:colOff>352425</xdr:colOff>
      <xdr:row>21</xdr:row>
      <xdr:rowOff>123825</xdr:rowOff>
    </xdr:from>
    <xdr:ext cx="1447800" cy="619125"/>
    <xdr:grpSp>
      <xdr:nvGrpSpPr>
        <xdr:cNvPr id="34" name="Group 117">
          <a:hlinkClick r:id="rId7"/>
        </xdr:cNvPr>
        <xdr:cNvGrpSpPr>
          <a:grpSpLocks/>
        </xdr:cNvGrpSpPr>
      </xdr:nvGrpSpPr>
      <xdr:grpSpPr>
        <a:xfrm>
          <a:off x="1228725" y="3924300"/>
          <a:ext cx="1447800" cy="619125"/>
          <a:chOff x="129" y="413"/>
          <a:chExt cx="152" cy="67"/>
        </a:xfrm>
        <a:solidFill>
          <a:srgbClr val="FFFFFF"/>
        </a:solidFill>
      </xdr:grpSpPr>
      <xdr:sp>
        <xdr:nvSpPr>
          <xdr:cNvPr id="35" name="Rectangle 66"/>
          <xdr:cNvSpPr>
            <a:spLocks/>
          </xdr:cNvSpPr>
        </xdr:nvSpPr>
        <xdr:spPr>
          <a:xfrm>
            <a:off x="129" y="413"/>
            <a:ext cx="152" cy="67"/>
          </a:xfrm>
          <a:prstGeom prst="round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6" name="TextBox 52"/>
          <xdr:cNvSpPr txBox="1">
            <a:spLocks noChangeArrowheads="1"/>
          </xdr:cNvSpPr>
        </xdr:nvSpPr>
        <xdr:spPr>
          <a:xfrm>
            <a:off x="148" y="433"/>
            <a:ext cx="91" cy="24"/>
          </a:xfrm>
          <a:prstGeom prst="rect">
            <a:avLst/>
          </a:prstGeom>
          <a:noFill/>
          <a:ln w="9525" cmpd="sng">
            <a:noFill/>
          </a:ln>
        </xdr:spPr>
        <xdr:txBody>
          <a:bodyPr vertOverflow="clip" wrap="square">
            <a:spAutoFit/>
          </a:bodyPr>
          <a:p>
            <a:pPr algn="ctr">
              <a:defRPr/>
            </a:pPr>
            <a:r>
              <a:rPr lang="en-US" cap="none" sz="1200" b="1" i="1" u="none" baseline="0">
                <a:solidFill>
                  <a:srgbClr val="800000"/>
                </a:solidFill>
              </a:rPr>
              <a:t>bottom-up</a:t>
            </a:r>
          </a:p>
        </xdr:txBody>
      </xdr:sp>
    </xdr:grpSp>
    <xdr:clientData fLocksWithSheet="0"/>
  </xdr:oneCellAnchor>
  <xdr:oneCellAnchor>
    <xdr:from>
      <xdr:col>10</xdr:col>
      <xdr:colOff>38100</xdr:colOff>
      <xdr:row>21</xdr:row>
      <xdr:rowOff>114300</xdr:rowOff>
    </xdr:from>
    <xdr:ext cx="1447800" cy="619125"/>
    <xdr:grpSp>
      <xdr:nvGrpSpPr>
        <xdr:cNvPr id="37" name="Group 118">
          <a:hlinkClick r:id="rId8"/>
        </xdr:cNvPr>
        <xdr:cNvGrpSpPr>
          <a:grpSpLocks/>
        </xdr:cNvGrpSpPr>
      </xdr:nvGrpSpPr>
      <xdr:grpSpPr>
        <a:xfrm>
          <a:off x="3581400" y="3914775"/>
          <a:ext cx="1447800" cy="619125"/>
          <a:chOff x="376" y="412"/>
          <a:chExt cx="152" cy="67"/>
        </a:xfrm>
        <a:solidFill>
          <a:srgbClr val="FFFFFF"/>
        </a:solidFill>
      </xdr:grpSpPr>
      <xdr:sp>
        <xdr:nvSpPr>
          <xdr:cNvPr id="38" name="Rectangle 69"/>
          <xdr:cNvSpPr>
            <a:spLocks/>
          </xdr:cNvSpPr>
        </xdr:nvSpPr>
        <xdr:spPr>
          <a:xfrm>
            <a:off x="376" y="412"/>
            <a:ext cx="152" cy="67"/>
          </a:xfrm>
          <a:prstGeom prst="round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9" name="TextBox 70"/>
          <xdr:cNvSpPr txBox="1">
            <a:spLocks noChangeArrowheads="1"/>
          </xdr:cNvSpPr>
        </xdr:nvSpPr>
        <xdr:spPr>
          <a:xfrm>
            <a:off x="395" y="432"/>
            <a:ext cx="98" cy="24"/>
          </a:xfrm>
          <a:prstGeom prst="rect">
            <a:avLst/>
          </a:prstGeom>
          <a:noFill/>
          <a:ln w="9525" cmpd="sng">
            <a:noFill/>
          </a:ln>
        </xdr:spPr>
        <xdr:txBody>
          <a:bodyPr vertOverflow="clip" wrap="square">
            <a:spAutoFit/>
          </a:bodyPr>
          <a:p>
            <a:pPr algn="ctr">
              <a:defRPr/>
            </a:pPr>
            <a:r>
              <a:rPr lang="en-US" cap="none" sz="1200" b="1" i="1" u="none" baseline="0">
                <a:solidFill>
                  <a:srgbClr val="800000"/>
                </a:solidFill>
              </a:rPr>
              <a:t>benchmark</a:t>
            </a:r>
          </a:p>
        </xdr:txBody>
      </xdr:sp>
    </xdr:grpSp>
    <xdr:clientData fLocksWithSheet="0"/>
  </xdr:oneCellAnchor>
  <xdr:oneCellAnchor>
    <xdr:from>
      <xdr:col>15</xdr:col>
      <xdr:colOff>209550</xdr:colOff>
      <xdr:row>21</xdr:row>
      <xdr:rowOff>114300</xdr:rowOff>
    </xdr:from>
    <xdr:ext cx="1447800" cy="619125"/>
    <xdr:grpSp>
      <xdr:nvGrpSpPr>
        <xdr:cNvPr id="40" name="Group 119">
          <a:hlinkClick r:id="rId9"/>
        </xdr:cNvPr>
        <xdr:cNvGrpSpPr>
          <a:grpSpLocks/>
        </xdr:cNvGrpSpPr>
      </xdr:nvGrpSpPr>
      <xdr:grpSpPr>
        <a:xfrm>
          <a:off x="5657850" y="3914775"/>
          <a:ext cx="1447800" cy="619125"/>
          <a:chOff x="594" y="412"/>
          <a:chExt cx="152" cy="67"/>
        </a:xfrm>
        <a:solidFill>
          <a:srgbClr val="FFFFFF"/>
        </a:solidFill>
      </xdr:grpSpPr>
      <xdr:sp>
        <xdr:nvSpPr>
          <xdr:cNvPr id="41" name="Rectangle 72"/>
          <xdr:cNvSpPr>
            <a:spLocks/>
          </xdr:cNvSpPr>
        </xdr:nvSpPr>
        <xdr:spPr>
          <a:xfrm>
            <a:off x="594" y="412"/>
            <a:ext cx="152" cy="67"/>
          </a:xfrm>
          <a:prstGeom prst="round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2" name="TextBox 73"/>
          <xdr:cNvSpPr txBox="1">
            <a:spLocks noChangeArrowheads="1"/>
          </xdr:cNvSpPr>
        </xdr:nvSpPr>
        <xdr:spPr>
          <a:xfrm>
            <a:off x="621" y="431"/>
            <a:ext cx="84" cy="24"/>
          </a:xfrm>
          <a:prstGeom prst="rect">
            <a:avLst/>
          </a:prstGeom>
          <a:noFill/>
          <a:ln w="9525" cmpd="sng">
            <a:noFill/>
          </a:ln>
        </xdr:spPr>
        <xdr:txBody>
          <a:bodyPr vertOverflow="clip" wrap="square">
            <a:spAutoFit/>
          </a:bodyPr>
          <a:p>
            <a:pPr algn="ctr">
              <a:defRPr/>
            </a:pPr>
            <a:r>
              <a:rPr lang="en-US" cap="none" sz="1200" b="1" i="1" u="none" baseline="0">
                <a:solidFill>
                  <a:srgbClr val="800000"/>
                </a:solidFill>
              </a:rPr>
              <a:t>top-down</a:t>
            </a:r>
          </a:p>
        </xdr:txBody>
      </xdr:sp>
    </xdr:grpSp>
    <xdr:clientData fLocksWithSheet="0"/>
  </xdr:oneCellAnchor>
  <xdr:twoCellAnchor>
    <xdr:from>
      <xdr:col>2</xdr:col>
      <xdr:colOff>152400</xdr:colOff>
      <xdr:row>5</xdr:row>
      <xdr:rowOff>142875</xdr:rowOff>
    </xdr:from>
    <xdr:to>
      <xdr:col>17</xdr:col>
      <xdr:colOff>171450</xdr:colOff>
      <xdr:row>21</xdr:row>
      <xdr:rowOff>123825</xdr:rowOff>
    </xdr:to>
    <xdr:grpSp>
      <xdr:nvGrpSpPr>
        <xdr:cNvPr id="43" name="Group 122"/>
        <xdr:cNvGrpSpPr>
          <a:grpSpLocks/>
        </xdr:cNvGrpSpPr>
      </xdr:nvGrpSpPr>
      <xdr:grpSpPr>
        <a:xfrm>
          <a:off x="647700" y="1504950"/>
          <a:ext cx="5734050" cy="2419350"/>
          <a:chOff x="68" y="159"/>
          <a:chExt cx="602" cy="254"/>
        </a:xfrm>
        <a:solidFill>
          <a:srgbClr val="FFFFFF"/>
        </a:solidFill>
      </xdr:grpSpPr>
      <xdr:sp>
        <xdr:nvSpPr>
          <xdr:cNvPr id="44" name="AutoShape 79"/>
          <xdr:cNvSpPr>
            <a:spLocks/>
          </xdr:cNvSpPr>
        </xdr:nvSpPr>
        <xdr:spPr>
          <a:xfrm>
            <a:off x="205" y="365"/>
            <a:ext cx="0" cy="48"/>
          </a:xfrm>
          <a:prstGeom prst="straightConnector1">
            <a:avLst/>
          </a:prstGeom>
          <a:noFill/>
          <a:ln w="3810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45" name="AutoShape 80"/>
          <xdr:cNvSpPr>
            <a:spLocks/>
          </xdr:cNvSpPr>
        </xdr:nvSpPr>
        <xdr:spPr>
          <a:xfrm>
            <a:off x="452" y="366"/>
            <a:ext cx="0" cy="46"/>
          </a:xfrm>
          <a:prstGeom prst="straightConnector1">
            <a:avLst/>
          </a:prstGeom>
          <a:noFill/>
          <a:ln w="3810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46" name="AutoShape 81"/>
          <xdr:cNvSpPr>
            <a:spLocks/>
          </xdr:cNvSpPr>
        </xdr:nvSpPr>
        <xdr:spPr>
          <a:xfrm>
            <a:off x="564" y="264"/>
            <a:ext cx="106" cy="148"/>
          </a:xfrm>
          <a:prstGeom prst="bentConnector2">
            <a:avLst>
              <a:gd name="adj1" fmla="val -582074"/>
              <a:gd name="adj2" fmla="val -228379"/>
              <a:gd name="adj3" fmla="val -582074"/>
            </a:avLst>
          </a:prstGeom>
          <a:noFill/>
          <a:ln w="3810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47" name="TextBox 100"/>
          <xdr:cNvSpPr txBox="1">
            <a:spLocks noChangeArrowheads="1"/>
          </xdr:cNvSpPr>
        </xdr:nvSpPr>
        <xdr:spPr>
          <a:xfrm>
            <a:off x="211" y="366"/>
            <a:ext cx="26" cy="24"/>
          </a:xfrm>
          <a:prstGeom prst="rect">
            <a:avLst/>
          </a:prstGeom>
          <a:noFill/>
          <a:ln w="9525" cmpd="sng">
            <a:noFill/>
          </a:ln>
        </xdr:spPr>
        <xdr:txBody>
          <a:bodyPr vertOverflow="clip" wrap="square">
            <a:spAutoFit/>
          </a:bodyPr>
          <a:p>
            <a:pPr algn="l">
              <a:defRPr/>
            </a:pPr>
            <a:r>
              <a:rPr lang="en-US" cap="none" sz="1200" b="1" i="1" u="none" baseline="0">
                <a:solidFill>
                  <a:srgbClr val="800000"/>
                </a:solidFill>
              </a:rPr>
              <a:t>si</a:t>
            </a:r>
          </a:p>
        </xdr:txBody>
      </xdr:sp>
      <xdr:sp>
        <xdr:nvSpPr>
          <xdr:cNvPr id="48" name="TextBox 103"/>
          <xdr:cNvSpPr txBox="1">
            <a:spLocks noChangeArrowheads="1"/>
          </xdr:cNvSpPr>
        </xdr:nvSpPr>
        <xdr:spPr>
          <a:xfrm>
            <a:off x="458" y="364"/>
            <a:ext cx="26" cy="24"/>
          </a:xfrm>
          <a:prstGeom prst="rect">
            <a:avLst/>
          </a:prstGeom>
          <a:noFill/>
          <a:ln w="9525" cmpd="sng">
            <a:noFill/>
          </a:ln>
        </xdr:spPr>
        <xdr:txBody>
          <a:bodyPr vertOverflow="clip" wrap="square">
            <a:spAutoFit/>
          </a:bodyPr>
          <a:p>
            <a:pPr algn="l">
              <a:defRPr/>
            </a:pPr>
            <a:r>
              <a:rPr lang="en-US" cap="none" sz="1200" b="1" i="1" u="none" baseline="0">
                <a:solidFill>
                  <a:srgbClr val="800000"/>
                </a:solidFill>
              </a:rPr>
              <a:t>si</a:t>
            </a:r>
          </a:p>
        </xdr:txBody>
      </xdr:sp>
      <xdr:sp>
        <xdr:nvSpPr>
          <xdr:cNvPr id="49" name="AutoShape 48"/>
          <xdr:cNvSpPr>
            <a:spLocks/>
          </xdr:cNvSpPr>
        </xdr:nvSpPr>
        <xdr:spPr>
          <a:xfrm>
            <a:off x="94" y="159"/>
            <a:ext cx="222" cy="206"/>
          </a:xfrm>
          <a:prstGeom prst="diamond">
            <a:avLst/>
          </a:prstGeom>
          <a:solidFill>
            <a:srgbClr val="F5E2BE"/>
          </a:solidFill>
          <a:ln w="9525" cmpd="sng">
            <a:solidFill>
              <a:srgbClr val="74682C"/>
            </a:solidFill>
            <a:headEnd type="none"/>
            <a:tailEnd type="none"/>
          </a:ln>
        </xdr:spPr>
        <xdr:txBody>
          <a:bodyPr vertOverflow="clip" wrap="square"/>
          <a:p>
            <a:pPr algn="ctr">
              <a:defRPr/>
            </a:pPr>
            <a:r>
              <a:rPr lang="en-US" cap="none" u="none" baseline="0">
                <a:latin typeface="Tahoma"/>
                <a:ea typeface="Tahoma"/>
                <a:cs typeface="Tahoma"/>
              </a:rPr>
              <a:t/>
            </a:r>
          </a:p>
        </xdr:txBody>
      </xdr:sp>
      <xdr:sp>
        <xdr:nvSpPr>
          <xdr:cNvPr id="50" name="TextBox 49"/>
          <xdr:cNvSpPr txBox="1">
            <a:spLocks noChangeArrowheads="1"/>
          </xdr:cNvSpPr>
        </xdr:nvSpPr>
        <xdr:spPr>
          <a:xfrm>
            <a:off x="131" y="191"/>
            <a:ext cx="155" cy="154"/>
          </a:xfrm>
          <a:prstGeom prst="rect">
            <a:avLst/>
          </a:prstGeom>
          <a:noFill/>
          <a:ln w="9525" cmpd="sng">
            <a:noFill/>
          </a:ln>
        </xdr:spPr>
        <xdr:txBody>
          <a:bodyPr vertOverflow="clip" wrap="square">
            <a:spAutoFit/>
          </a:bodyPr>
          <a:p>
            <a:pPr algn="ctr">
              <a:defRPr/>
            </a:pPr>
            <a:r>
              <a:rPr lang="en-US" cap="none" sz="800" b="0" i="0" u="none" baseline="0">
                <a:solidFill>
                  <a:srgbClr val="800000"/>
                </a:solidFill>
              </a:rPr>
              <a:t>sei in un
settore di beni non
durevoli di consumo,
prevedi di servire
direttamente grossisti e/o punti
vendita e/o Ho.Re.Ca. e
puoi stimare in modo
analitico n. di operatori
e acquisti
medi?</a:t>
            </a:r>
          </a:p>
        </xdr:txBody>
      </xdr:sp>
      <xdr:sp>
        <xdr:nvSpPr>
          <xdr:cNvPr id="51" name="AutoShape 51"/>
          <xdr:cNvSpPr>
            <a:spLocks/>
          </xdr:cNvSpPr>
        </xdr:nvSpPr>
        <xdr:spPr>
          <a:xfrm>
            <a:off x="341" y="160"/>
            <a:ext cx="222" cy="206"/>
          </a:xfrm>
          <a:prstGeom prst="diamond">
            <a:avLst/>
          </a:prstGeom>
          <a:solidFill>
            <a:srgbClr val="F5E2BE"/>
          </a:solidFill>
          <a:ln w="9525" cmpd="sng">
            <a:solidFill>
              <a:srgbClr val="74682C"/>
            </a:solidFill>
            <a:headEnd type="none"/>
            <a:tailEnd type="none"/>
          </a:ln>
        </xdr:spPr>
        <xdr:txBody>
          <a:bodyPr vertOverflow="clip" wrap="square"/>
          <a:p>
            <a:pPr algn="ctr">
              <a:defRPr/>
            </a:pPr>
            <a:r>
              <a:rPr lang="en-US" cap="none" u="none" baseline="0">
                <a:latin typeface="Tahoma"/>
                <a:ea typeface="Tahoma"/>
                <a:cs typeface="Tahoma"/>
              </a:rPr>
              <a:t/>
            </a:r>
          </a:p>
        </xdr:txBody>
      </xdr:sp>
      <xdr:sp>
        <xdr:nvSpPr>
          <xdr:cNvPr id="52" name="TextBox 40"/>
          <xdr:cNvSpPr txBox="1">
            <a:spLocks noChangeArrowheads="1"/>
          </xdr:cNvSpPr>
        </xdr:nvSpPr>
        <xdr:spPr>
          <a:xfrm>
            <a:off x="339" y="193"/>
            <a:ext cx="225" cy="142"/>
          </a:xfrm>
          <a:prstGeom prst="rect">
            <a:avLst/>
          </a:prstGeom>
          <a:noFill/>
          <a:ln w="9525" cmpd="sng">
            <a:noFill/>
          </a:ln>
        </xdr:spPr>
        <xdr:txBody>
          <a:bodyPr vertOverflow="clip" wrap="square"/>
          <a:p>
            <a:pPr algn="ctr">
              <a:defRPr/>
            </a:pPr>
            <a:r>
              <a:rPr lang="en-US" cap="none" sz="800" b="0" i="0" u="none" baseline="0">
                <a:solidFill>
                  <a:srgbClr val="800000"/>
                </a:solidFill>
              </a:rPr>
              <a:t>disponi di dati
sulla dimensione del
mercato in Italia (a quantità)
per il settore e segmento
specifico di tuo interesse e puoi avvalerti di parametri
socio-economici e demo-
grafici per i mercati
esteri? </a:t>
            </a:r>
          </a:p>
        </xdr:txBody>
      </xdr:sp>
      <xdr:sp>
        <xdr:nvSpPr>
          <xdr:cNvPr id="53" name="AutoShape 65"/>
          <xdr:cNvSpPr>
            <a:spLocks/>
          </xdr:cNvSpPr>
        </xdr:nvSpPr>
        <xdr:spPr>
          <a:xfrm>
            <a:off x="316" y="262"/>
            <a:ext cx="25" cy="1"/>
          </a:xfrm>
          <a:prstGeom prst="straightConnector1">
            <a:avLst/>
          </a:prstGeom>
          <a:noFill/>
          <a:ln w="3810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54" name="AutoShape 85"/>
          <xdr:cNvSpPr>
            <a:spLocks/>
          </xdr:cNvSpPr>
        </xdr:nvSpPr>
        <xdr:spPr>
          <a:xfrm>
            <a:off x="68" y="262"/>
            <a:ext cx="26" cy="0"/>
          </a:xfrm>
          <a:prstGeom prst="straightConnector1">
            <a:avLst/>
          </a:prstGeom>
          <a:noFill/>
          <a:ln w="38100" cmpd="sng">
            <a:solidFill>
              <a:srgbClr val="960E11"/>
            </a:solidFill>
            <a:headEnd type="none"/>
            <a:tailEnd type="triangle"/>
          </a:ln>
        </xdr:spPr>
        <xdr:txBody>
          <a:bodyPr vertOverflow="clip" wrap="square"/>
          <a:p>
            <a:pPr algn="l">
              <a:defRPr/>
            </a:pPr>
            <a:r>
              <a:rPr lang="en-US" cap="none" u="none" baseline="0">
                <a:latin typeface="Tahoma"/>
                <a:ea typeface="Tahoma"/>
                <a:cs typeface="Tahoma"/>
              </a:rPr>
              <a:t/>
            </a:r>
          </a:p>
        </xdr:txBody>
      </xdr:sp>
      <xdr:sp>
        <xdr:nvSpPr>
          <xdr:cNvPr id="55" name="TextBox 101"/>
          <xdr:cNvSpPr txBox="1">
            <a:spLocks noChangeArrowheads="1"/>
          </xdr:cNvSpPr>
        </xdr:nvSpPr>
        <xdr:spPr>
          <a:xfrm>
            <a:off x="314" y="240"/>
            <a:ext cx="24" cy="21"/>
          </a:xfrm>
          <a:prstGeom prst="rect">
            <a:avLst/>
          </a:prstGeom>
          <a:noFill/>
          <a:ln w="9525" cmpd="sng">
            <a:noFill/>
          </a:ln>
        </xdr:spPr>
        <xdr:txBody>
          <a:bodyPr vertOverflow="clip" wrap="square">
            <a:spAutoFit/>
          </a:bodyPr>
          <a:p>
            <a:pPr algn="l">
              <a:defRPr/>
            </a:pPr>
            <a:r>
              <a:rPr lang="en-US" cap="none" sz="1000" b="0" i="1" u="none" baseline="0">
                <a:solidFill>
                  <a:srgbClr val="800000"/>
                </a:solidFill>
              </a:rPr>
              <a:t>no</a:t>
            </a:r>
          </a:p>
        </xdr:txBody>
      </xdr:sp>
      <xdr:sp>
        <xdr:nvSpPr>
          <xdr:cNvPr id="56" name="TextBox 104"/>
          <xdr:cNvSpPr txBox="1">
            <a:spLocks noChangeArrowheads="1"/>
          </xdr:cNvSpPr>
        </xdr:nvSpPr>
        <xdr:spPr>
          <a:xfrm>
            <a:off x="558" y="229"/>
            <a:ext cx="100" cy="89"/>
          </a:xfrm>
          <a:prstGeom prst="rect">
            <a:avLst/>
          </a:prstGeom>
          <a:noFill/>
          <a:ln w="9525" cmpd="sng">
            <a:noFill/>
          </a:ln>
        </xdr:spPr>
        <xdr:txBody>
          <a:bodyPr vertOverflow="clip" wrap="square">
            <a:spAutoFit/>
          </a:bodyPr>
          <a:p>
            <a:pPr algn="l">
              <a:defRPr/>
            </a:pPr>
            <a:r>
              <a:rPr lang="en-US" cap="none" sz="1000" b="0" i="1" u="none" baseline="0">
                <a:solidFill>
                  <a:srgbClr val="800000"/>
                </a:solidFill>
              </a:rPr>
              <a:t>no, dovrò
avvalermi
esclusivamente
di stime macro
sull'end-user</a:t>
            </a:r>
          </a:p>
        </xdr:txBody>
      </xdr:sp>
    </xdr:grpSp>
    <xdr:clientData/>
  </xdr:twoCellAnchor>
  <xdr:oneCellAnchor>
    <xdr:from>
      <xdr:col>0</xdr:col>
      <xdr:colOff>104775</xdr:colOff>
      <xdr:row>15</xdr:row>
      <xdr:rowOff>114300</xdr:rowOff>
    </xdr:from>
    <xdr:ext cx="981075" cy="381000"/>
    <xdr:grpSp>
      <xdr:nvGrpSpPr>
        <xdr:cNvPr id="57" name="Group 114">
          <a:hlinkClick r:id="rId10"/>
        </xdr:cNvPr>
        <xdr:cNvGrpSpPr>
          <a:grpSpLocks/>
        </xdr:cNvGrpSpPr>
      </xdr:nvGrpSpPr>
      <xdr:grpSpPr>
        <a:xfrm>
          <a:off x="104775" y="3000375"/>
          <a:ext cx="981075" cy="381000"/>
          <a:chOff x="11" y="316"/>
          <a:chExt cx="103" cy="40"/>
        </a:xfrm>
        <a:solidFill>
          <a:srgbClr val="FFFFFF"/>
        </a:solidFill>
      </xdr:grpSpPr>
      <xdr:sp>
        <xdr:nvSpPr>
          <xdr:cNvPr id="58" name="Rectangle 108"/>
          <xdr:cNvSpPr>
            <a:spLocks/>
          </xdr:cNvSpPr>
        </xdr:nvSpPr>
        <xdr:spPr>
          <a:xfrm>
            <a:off x="11" y="316"/>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9" name="TextBox 109"/>
          <xdr:cNvSpPr txBox="1">
            <a:spLocks noChangeArrowheads="1"/>
          </xdr:cNvSpPr>
        </xdr:nvSpPr>
        <xdr:spPr>
          <a:xfrm>
            <a:off x="38" y="329"/>
            <a:ext cx="40" cy="19"/>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fLocksWithSheet="0"/>
  </xdr:oneCellAnchor>
  <xdr:oneCellAnchor>
    <xdr:from>
      <xdr:col>0</xdr:col>
      <xdr:colOff>114300</xdr:colOff>
      <xdr:row>18</xdr:row>
      <xdr:rowOff>142875</xdr:rowOff>
    </xdr:from>
    <xdr:ext cx="981075" cy="390525"/>
    <xdr:grpSp>
      <xdr:nvGrpSpPr>
        <xdr:cNvPr id="60" name="Group 115">
          <a:hlinkClick r:id="rId11"/>
        </xdr:cNvPr>
        <xdr:cNvGrpSpPr>
          <a:grpSpLocks/>
        </xdr:cNvGrpSpPr>
      </xdr:nvGrpSpPr>
      <xdr:grpSpPr>
        <a:xfrm>
          <a:off x="114300" y="3486150"/>
          <a:ext cx="981075" cy="390525"/>
          <a:chOff x="12" y="367"/>
          <a:chExt cx="103" cy="41"/>
        </a:xfrm>
        <a:solidFill>
          <a:srgbClr val="FFFFFF"/>
        </a:solidFill>
      </xdr:grpSpPr>
      <xdr:sp>
        <xdr:nvSpPr>
          <xdr:cNvPr id="61" name="Rectangle 111"/>
          <xdr:cNvSpPr>
            <a:spLocks/>
          </xdr:cNvSpPr>
        </xdr:nvSpPr>
        <xdr:spPr>
          <a:xfrm>
            <a:off x="12" y="367"/>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62" name="TextBox 112"/>
          <xdr:cNvSpPr txBox="1">
            <a:spLocks noChangeArrowheads="1"/>
          </xdr:cNvSpPr>
        </xdr:nvSpPr>
        <xdr:spPr>
          <a:xfrm>
            <a:off x="32" y="374"/>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torna a
contesto</a:t>
            </a:r>
          </a:p>
        </xdr:txBody>
      </xdr:sp>
    </xdr:grpSp>
    <xdr:clientData fLocksWithSheet="0"/>
  </xdr:oneCellAnchor>
  <xdr:oneCellAnchor>
    <xdr:from>
      <xdr:col>2</xdr:col>
      <xdr:colOff>0</xdr:colOff>
      <xdr:row>22</xdr:row>
      <xdr:rowOff>142875</xdr:rowOff>
    </xdr:from>
    <xdr:ext cx="200025" cy="200025"/>
    <xdr:sp>
      <xdr:nvSpPr>
        <xdr:cNvPr id="63" name="Oval 123">
          <a:hlinkClick r:id="rId12"/>
        </xdr:cNvPr>
        <xdr:cNvSpPr>
          <a:spLocks/>
        </xdr:cNvSpPr>
      </xdr:nvSpPr>
      <xdr:spPr>
        <a:xfrm>
          <a:off x="495300" y="40957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xdr:row>
      <xdr:rowOff>0</xdr:rowOff>
    </xdr:from>
    <xdr:to>
      <xdr:col>12</xdr:col>
      <xdr:colOff>9525</xdr:colOff>
      <xdr:row>2</xdr:row>
      <xdr:rowOff>0</xdr:rowOff>
    </xdr:to>
    <xdr:sp macro="[2]!Apri_Sottosezione_1">
      <xdr:nvSpPr>
        <xdr:cNvPr id="1" name="Rectangle 1"/>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
      <xdr:nvSpPr>
        <xdr:cNvPr id="2" name="Rectangle 2"/>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3">
      <xdr:nvSpPr>
        <xdr:cNvPr id="3" name="Rectangle 3"/>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4">
      <xdr:nvSpPr>
        <xdr:cNvPr id="4" name="Rectangle 4"/>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5">
      <xdr:nvSpPr>
        <xdr:cNvPr id="5" name="Rectangle 5"/>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6">
      <xdr:nvSpPr>
        <xdr:cNvPr id="6" name="Rectangle 6"/>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7">
      <xdr:nvSpPr>
        <xdr:cNvPr id="7" name="Rectangle 7"/>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8">
      <xdr:nvSpPr>
        <xdr:cNvPr id="8" name="Rectangle 8"/>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9">
      <xdr:nvSpPr>
        <xdr:cNvPr id="9" name="Rectangle 9"/>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0">
      <xdr:nvSpPr>
        <xdr:cNvPr id="10" name="Rectangle 10"/>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1">
      <xdr:nvSpPr>
        <xdr:cNvPr id="11" name="Rectangle 11"/>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2">
      <xdr:nvSpPr>
        <xdr:cNvPr id="12" name="Rectangle 12"/>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3">
      <xdr:nvSpPr>
        <xdr:cNvPr id="13" name="Rectangle 13"/>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4">
      <xdr:nvSpPr>
        <xdr:cNvPr id="14" name="Rectangle 14"/>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5">
      <xdr:nvSpPr>
        <xdr:cNvPr id="15" name="Rectangle 15"/>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6">
      <xdr:nvSpPr>
        <xdr:cNvPr id="16" name="Rectangle 16"/>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7">
      <xdr:nvSpPr>
        <xdr:cNvPr id="17" name="Rectangle 17"/>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8">
      <xdr:nvSpPr>
        <xdr:cNvPr id="18" name="Rectangle 18"/>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9">
      <xdr:nvSpPr>
        <xdr:cNvPr id="19" name="Rectangle 19"/>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0">
      <xdr:nvSpPr>
        <xdr:cNvPr id="20" name="Rectangle 20"/>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1">
      <xdr:nvSpPr>
        <xdr:cNvPr id="21" name="Rectangle 21"/>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2">
      <xdr:nvSpPr>
        <xdr:cNvPr id="22" name="Rectangle 22"/>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3">
      <xdr:nvSpPr>
        <xdr:cNvPr id="23" name="Rectangle 23"/>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4">
      <xdr:nvSpPr>
        <xdr:cNvPr id="24" name="Rectangle 24"/>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5">
      <xdr:nvSpPr>
        <xdr:cNvPr id="25" name="Rectangle 25"/>
        <xdr:cNvSpPr>
          <a:spLocks/>
        </xdr:cNvSpPr>
      </xdr:nvSpPr>
      <xdr:spPr>
        <a:xfrm>
          <a:off x="6505575" y="885825"/>
          <a:ext cx="64770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13</xdr:col>
      <xdr:colOff>0</xdr:colOff>
      <xdr:row>2</xdr:row>
      <xdr:rowOff>0</xdr:rowOff>
    </xdr:from>
    <xdr:to>
      <xdr:col>13</xdr:col>
      <xdr:colOff>0</xdr:colOff>
      <xdr:row>2</xdr:row>
      <xdr:rowOff>0</xdr:rowOff>
    </xdr:to>
    <xdr:graphicFrame>
      <xdr:nvGraphicFramePr>
        <xdr:cNvPr id="26" name="Chart 31"/>
        <xdr:cNvGraphicFramePr/>
      </xdr:nvGraphicFramePr>
      <xdr:xfrm>
        <a:off x="7658100" y="885825"/>
        <a:ext cx="0" cy="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7" name="Chart 32"/>
        <xdr:cNvGraphicFramePr/>
      </xdr:nvGraphicFramePr>
      <xdr:xfrm>
        <a:off x="7658100" y="885825"/>
        <a:ext cx="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8" name="Chart 33"/>
        <xdr:cNvGraphicFramePr/>
      </xdr:nvGraphicFramePr>
      <xdr:xfrm>
        <a:off x="7658100" y="885825"/>
        <a:ext cx="0" cy="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9" name="Chart 34"/>
        <xdr:cNvGraphicFramePr/>
      </xdr:nvGraphicFramePr>
      <xdr:xfrm>
        <a:off x="7658100" y="88582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30" name="Chart 35"/>
        <xdr:cNvGraphicFramePr/>
      </xdr:nvGraphicFramePr>
      <xdr:xfrm>
        <a:off x="7658100" y="885825"/>
        <a:ext cx="0" cy="0"/>
      </xdr:xfrm>
      <a:graphic>
        <a:graphicData uri="http://schemas.openxmlformats.org/drawingml/2006/chart">
          <c:chart xmlns:c="http://schemas.openxmlformats.org/drawingml/2006/chart" r:id="rId5"/>
        </a:graphicData>
      </a:graphic>
    </xdr:graphicFrame>
    <xdr:clientData/>
  </xdr:twoCellAnchor>
  <xdr:twoCellAnchor>
    <xdr:from>
      <xdr:col>8</xdr:col>
      <xdr:colOff>171450</xdr:colOff>
      <xdr:row>2</xdr:row>
      <xdr:rowOff>0</xdr:rowOff>
    </xdr:from>
    <xdr:to>
      <xdr:col>13</xdr:col>
      <xdr:colOff>0</xdr:colOff>
      <xdr:row>2</xdr:row>
      <xdr:rowOff>0</xdr:rowOff>
    </xdr:to>
    <xdr:graphicFrame>
      <xdr:nvGraphicFramePr>
        <xdr:cNvPr id="31" name="Chart 36"/>
        <xdr:cNvGraphicFramePr/>
      </xdr:nvGraphicFramePr>
      <xdr:xfrm>
        <a:off x="4857750" y="885825"/>
        <a:ext cx="280035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9</xdr:row>
      <xdr:rowOff>0</xdr:rowOff>
    </xdr:from>
    <xdr:to>
      <xdr:col>13</xdr:col>
      <xdr:colOff>0</xdr:colOff>
      <xdr:row>9</xdr:row>
      <xdr:rowOff>0</xdr:rowOff>
    </xdr:to>
    <xdr:graphicFrame>
      <xdr:nvGraphicFramePr>
        <xdr:cNvPr id="32" name="Chart 37"/>
        <xdr:cNvGraphicFramePr/>
      </xdr:nvGraphicFramePr>
      <xdr:xfrm>
        <a:off x="7658100" y="197167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9</xdr:row>
      <xdr:rowOff>0</xdr:rowOff>
    </xdr:from>
    <xdr:to>
      <xdr:col>13</xdr:col>
      <xdr:colOff>0</xdr:colOff>
      <xdr:row>9</xdr:row>
      <xdr:rowOff>0</xdr:rowOff>
    </xdr:to>
    <xdr:graphicFrame>
      <xdr:nvGraphicFramePr>
        <xdr:cNvPr id="33" name="Chart 38"/>
        <xdr:cNvGraphicFramePr/>
      </xdr:nvGraphicFramePr>
      <xdr:xfrm>
        <a:off x="7658100" y="1971675"/>
        <a:ext cx="0" cy="0"/>
      </xdr:xfrm>
      <a:graphic>
        <a:graphicData uri="http://schemas.openxmlformats.org/drawingml/2006/chart">
          <c:chart xmlns:c="http://schemas.openxmlformats.org/drawingml/2006/chart" r:id="rId8"/>
        </a:graphicData>
      </a:graphic>
    </xdr:graphicFrame>
    <xdr:clientData/>
  </xdr:twoCellAnchor>
  <xdr:oneCellAnchor>
    <xdr:from>
      <xdr:col>1</xdr:col>
      <xdr:colOff>190500</xdr:colOff>
      <xdr:row>70</xdr:row>
      <xdr:rowOff>19050</xdr:rowOff>
    </xdr:from>
    <xdr:ext cx="981075" cy="381000"/>
    <xdr:grpSp>
      <xdr:nvGrpSpPr>
        <xdr:cNvPr id="34" name="Group 417">
          <a:hlinkClick r:id="rId9"/>
        </xdr:cNvPr>
        <xdr:cNvGrpSpPr>
          <a:grpSpLocks/>
        </xdr:cNvGrpSpPr>
      </xdr:nvGrpSpPr>
      <xdr:grpSpPr>
        <a:xfrm>
          <a:off x="438150" y="11239500"/>
          <a:ext cx="981075" cy="381000"/>
          <a:chOff x="46" y="1122"/>
          <a:chExt cx="103" cy="40"/>
        </a:xfrm>
        <a:solidFill>
          <a:srgbClr val="FFFFFF"/>
        </a:solidFill>
      </xdr:grpSpPr>
      <xdr:sp>
        <xdr:nvSpPr>
          <xdr:cNvPr id="35" name="Rectangle 121"/>
          <xdr:cNvSpPr>
            <a:spLocks/>
          </xdr:cNvSpPr>
        </xdr:nvSpPr>
        <xdr:spPr>
          <a:xfrm>
            <a:off x="46" y="1122"/>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6" name="TextBox 122"/>
          <xdr:cNvSpPr txBox="1">
            <a:spLocks noChangeArrowheads="1"/>
          </xdr:cNvSpPr>
        </xdr:nvSpPr>
        <xdr:spPr>
          <a:xfrm>
            <a:off x="73" y="1135"/>
            <a:ext cx="40" cy="19"/>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fLocksWithSheet="0"/>
  </xdr:oneCellAnchor>
  <xdr:oneCellAnchor>
    <xdr:from>
      <xdr:col>3</xdr:col>
      <xdr:colOff>304800</xdr:colOff>
      <xdr:row>70</xdr:row>
      <xdr:rowOff>19050</xdr:rowOff>
    </xdr:from>
    <xdr:ext cx="981075" cy="390525"/>
    <xdr:grpSp>
      <xdr:nvGrpSpPr>
        <xdr:cNvPr id="37" name="Group 418">
          <a:hlinkClick r:id="rId10"/>
        </xdr:cNvPr>
        <xdr:cNvGrpSpPr>
          <a:grpSpLocks/>
        </xdr:cNvGrpSpPr>
      </xdr:nvGrpSpPr>
      <xdr:grpSpPr>
        <a:xfrm>
          <a:off x="1581150" y="11239500"/>
          <a:ext cx="981075" cy="390525"/>
          <a:chOff x="166" y="1122"/>
          <a:chExt cx="103" cy="41"/>
        </a:xfrm>
        <a:solidFill>
          <a:srgbClr val="FFFFFF"/>
        </a:solidFill>
      </xdr:grpSpPr>
      <xdr:sp>
        <xdr:nvSpPr>
          <xdr:cNvPr id="38" name="Rectangle 124"/>
          <xdr:cNvSpPr>
            <a:spLocks/>
          </xdr:cNvSpPr>
        </xdr:nvSpPr>
        <xdr:spPr>
          <a:xfrm>
            <a:off x="166" y="1122"/>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9" name="TextBox 125"/>
          <xdr:cNvSpPr txBox="1">
            <a:spLocks noChangeArrowheads="1"/>
          </xdr:cNvSpPr>
        </xdr:nvSpPr>
        <xdr:spPr>
          <a:xfrm>
            <a:off x="186" y="1129"/>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torna a
contesto</a:t>
            </a:r>
          </a:p>
        </xdr:txBody>
      </xdr:sp>
    </xdr:grpSp>
    <xdr:clientData fLocksWithSheet="0"/>
  </xdr:oneCellAnchor>
  <xdr:oneCellAnchor>
    <xdr:from>
      <xdr:col>4</xdr:col>
      <xdr:colOff>542925</xdr:colOff>
      <xdr:row>70</xdr:row>
      <xdr:rowOff>28575</xdr:rowOff>
    </xdr:from>
    <xdr:ext cx="981075" cy="381000"/>
    <xdr:grpSp>
      <xdr:nvGrpSpPr>
        <xdr:cNvPr id="40" name="Group 419">
          <a:hlinkClick r:id="rId11"/>
        </xdr:cNvPr>
        <xdr:cNvGrpSpPr>
          <a:grpSpLocks/>
        </xdr:cNvGrpSpPr>
      </xdr:nvGrpSpPr>
      <xdr:grpSpPr>
        <a:xfrm>
          <a:off x="2752725" y="11249025"/>
          <a:ext cx="981075" cy="381000"/>
          <a:chOff x="289" y="1123"/>
          <a:chExt cx="103" cy="40"/>
        </a:xfrm>
        <a:solidFill>
          <a:srgbClr val="FFFFFF"/>
        </a:solidFill>
      </xdr:grpSpPr>
      <xdr:sp>
        <xdr:nvSpPr>
          <xdr:cNvPr id="41" name="Rectangle 127"/>
          <xdr:cNvSpPr>
            <a:spLocks/>
          </xdr:cNvSpPr>
        </xdr:nvSpPr>
        <xdr:spPr>
          <a:xfrm>
            <a:off x="289" y="1123"/>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2" name="TextBox 128"/>
          <xdr:cNvSpPr txBox="1">
            <a:spLocks noChangeArrowheads="1"/>
          </xdr:cNvSpPr>
        </xdr:nvSpPr>
        <xdr:spPr>
          <a:xfrm>
            <a:off x="312" y="1129"/>
            <a:ext cx="53"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scegli il
modello</a:t>
            </a:r>
          </a:p>
        </xdr:txBody>
      </xdr:sp>
    </xdr:grpSp>
    <xdr:clientData fLocksWithSheet="0"/>
  </xdr:oneCellAnchor>
  <xdr:oneCellAnchor>
    <xdr:from>
      <xdr:col>6</xdr:col>
      <xdr:colOff>371475</xdr:colOff>
      <xdr:row>70</xdr:row>
      <xdr:rowOff>28575</xdr:rowOff>
    </xdr:from>
    <xdr:ext cx="981075" cy="381000"/>
    <xdr:grpSp>
      <xdr:nvGrpSpPr>
        <xdr:cNvPr id="43" name="Group 129">
          <a:hlinkClick r:id="rId12"/>
        </xdr:cNvPr>
        <xdr:cNvGrpSpPr>
          <a:grpSpLocks/>
        </xdr:cNvGrpSpPr>
      </xdr:nvGrpSpPr>
      <xdr:grpSpPr>
        <a:xfrm>
          <a:off x="3886200" y="11249025"/>
          <a:ext cx="981075" cy="381000"/>
          <a:chOff x="413" y="560"/>
          <a:chExt cx="103" cy="42"/>
        </a:xfrm>
        <a:solidFill>
          <a:srgbClr val="FFFFFF"/>
        </a:solidFill>
      </xdr:grpSpPr>
      <xdr:sp>
        <xdr:nvSpPr>
          <xdr:cNvPr id="44" name="Rectangle 130"/>
          <xdr:cNvSpPr>
            <a:spLocks/>
          </xdr:cNvSpPr>
        </xdr:nvSpPr>
        <xdr:spPr>
          <a:xfrm>
            <a:off x="413"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5" name="TextBox 131"/>
          <xdr:cNvSpPr txBox="1">
            <a:spLocks noChangeArrowheads="1"/>
          </xdr:cNvSpPr>
        </xdr:nvSpPr>
        <xdr:spPr>
          <a:xfrm>
            <a:off x="425" y="563"/>
            <a:ext cx="71" cy="36"/>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benchmark</a:t>
            </a:r>
          </a:p>
        </xdr:txBody>
      </xdr:sp>
    </xdr:grpSp>
    <xdr:clientData fLocksWithSheet="0"/>
  </xdr:oneCellAnchor>
  <xdr:oneCellAnchor>
    <xdr:from>
      <xdr:col>8</xdr:col>
      <xdr:colOff>314325</xdr:colOff>
      <xdr:row>70</xdr:row>
      <xdr:rowOff>28575</xdr:rowOff>
    </xdr:from>
    <xdr:ext cx="981075" cy="381000"/>
    <xdr:grpSp>
      <xdr:nvGrpSpPr>
        <xdr:cNvPr id="46" name="Group 132">
          <a:hlinkClick r:id="rId13"/>
        </xdr:cNvPr>
        <xdr:cNvGrpSpPr>
          <a:grpSpLocks/>
        </xdr:cNvGrpSpPr>
      </xdr:nvGrpSpPr>
      <xdr:grpSpPr>
        <a:xfrm>
          <a:off x="5000625" y="11249025"/>
          <a:ext cx="981075" cy="381000"/>
          <a:chOff x="530" y="560"/>
          <a:chExt cx="103" cy="42"/>
        </a:xfrm>
        <a:solidFill>
          <a:srgbClr val="FFFFFF"/>
        </a:solidFill>
      </xdr:grpSpPr>
      <xdr:sp>
        <xdr:nvSpPr>
          <xdr:cNvPr id="47" name="Rectangle 133"/>
          <xdr:cNvSpPr>
            <a:spLocks/>
          </xdr:cNvSpPr>
        </xdr:nvSpPr>
        <xdr:spPr>
          <a:xfrm>
            <a:off x="530"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8" name="TextBox 134"/>
          <xdr:cNvSpPr txBox="1">
            <a:spLocks noChangeArrowheads="1"/>
          </xdr:cNvSpPr>
        </xdr:nvSpPr>
        <xdr:spPr>
          <a:xfrm>
            <a:off x="547" y="566"/>
            <a:ext cx="61" cy="36"/>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top-down</a:t>
            </a:r>
          </a:p>
        </xdr:txBody>
      </xdr:sp>
    </xdr:grpSp>
    <xdr:clientData fLocksWithSheet="0"/>
  </xdr:oneCellAnchor>
  <xdr:oneCellAnchor>
    <xdr:from>
      <xdr:col>10</xdr:col>
      <xdr:colOff>285750</xdr:colOff>
      <xdr:row>70</xdr:row>
      <xdr:rowOff>19050</xdr:rowOff>
    </xdr:from>
    <xdr:ext cx="981075" cy="381000"/>
    <xdr:grpSp>
      <xdr:nvGrpSpPr>
        <xdr:cNvPr id="49" name="Group 420">
          <a:hlinkClick r:id="rId14"/>
        </xdr:cNvPr>
        <xdr:cNvGrpSpPr>
          <a:grpSpLocks/>
        </xdr:cNvGrpSpPr>
      </xdr:nvGrpSpPr>
      <xdr:grpSpPr>
        <a:xfrm>
          <a:off x="6134100" y="11239500"/>
          <a:ext cx="981075" cy="381000"/>
          <a:chOff x="644" y="1122"/>
          <a:chExt cx="103" cy="40"/>
        </a:xfrm>
        <a:solidFill>
          <a:srgbClr val="FFFFFF"/>
        </a:solidFill>
      </xdr:grpSpPr>
      <xdr:sp>
        <xdr:nvSpPr>
          <xdr:cNvPr id="50" name="Rectangle 136"/>
          <xdr:cNvSpPr>
            <a:spLocks/>
          </xdr:cNvSpPr>
        </xdr:nvSpPr>
        <xdr:spPr>
          <a:xfrm>
            <a:off x="644" y="1122"/>
            <a:ext cx="103" cy="40"/>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1" name="TextBox 137"/>
          <xdr:cNvSpPr txBox="1">
            <a:spLocks noChangeArrowheads="1"/>
          </xdr:cNvSpPr>
        </xdr:nvSpPr>
        <xdr:spPr>
          <a:xfrm>
            <a:off x="660" y="1128"/>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al
riepilogo</a:t>
            </a:r>
          </a:p>
        </xdr:txBody>
      </xdr:sp>
    </xdr:grpSp>
    <xdr:clientData fLocksWithSheet="0"/>
  </xdr:oneCellAnchor>
  <xdr:oneCellAnchor>
    <xdr:from>
      <xdr:col>0</xdr:col>
      <xdr:colOff>28575</xdr:colOff>
      <xdr:row>8</xdr:row>
      <xdr:rowOff>0</xdr:rowOff>
    </xdr:from>
    <xdr:ext cx="200025" cy="200025"/>
    <xdr:sp>
      <xdr:nvSpPr>
        <xdr:cNvPr id="52" name="Oval 422">
          <a:hlinkClick r:id="rId15"/>
        </xdr:cNvPr>
        <xdr:cNvSpPr>
          <a:spLocks/>
        </xdr:cNvSpPr>
      </xdr:nvSpPr>
      <xdr:spPr>
        <a:xfrm>
          <a:off x="28575" y="18192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17</xdr:row>
      <xdr:rowOff>0</xdr:rowOff>
    </xdr:from>
    <xdr:ext cx="200025" cy="200025"/>
    <xdr:sp>
      <xdr:nvSpPr>
        <xdr:cNvPr id="53" name="Oval 423">
          <a:hlinkClick r:id="rId16"/>
        </xdr:cNvPr>
        <xdr:cNvSpPr>
          <a:spLocks/>
        </xdr:cNvSpPr>
      </xdr:nvSpPr>
      <xdr:spPr>
        <a:xfrm>
          <a:off x="28575" y="31718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26</xdr:row>
      <xdr:rowOff>123825</xdr:rowOff>
    </xdr:from>
    <xdr:ext cx="200025" cy="200025"/>
    <xdr:sp>
      <xdr:nvSpPr>
        <xdr:cNvPr id="54" name="Oval 424">
          <a:hlinkClick r:id="rId17"/>
        </xdr:cNvPr>
        <xdr:cNvSpPr>
          <a:spLocks/>
        </xdr:cNvSpPr>
      </xdr:nvSpPr>
      <xdr:spPr>
        <a:xfrm>
          <a:off x="38100" y="46577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33</xdr:row>
      <xdr:rowOff>0</xdr:rowOff>
    </xdr:from>
    <xdr:ext cx="200025" cy="200025"/>
    <xdr:sp>
      <xdr:nvSpPr>
        <xdr:cNvPr id="55" name="Oval 425">
          <a:hlinkClick r:id="rId18"/>
        </xdr:cNvPr>
        <xdr:cNvSpPr>
          <a:spLocks/>
        </xdr:cNvSpPr>
      </xdr:nvSpPr>
      <xdr:spPr>
        <a:xfrm>
          <a:off x="28575" y="560070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40</xdr:row>
      <xdr:rowOff>9525</xdr:rowOff>
    </xdr:from>
    <xdr:ext cx="200025" cy="200025"/>
    <xdr:sp>
      <xdr:nvSpPr>
        <xdr:cNvPr id="56" name="Oval 426">
          <a:hlinkClick r:id="rId19"/>
        </xdr:cNvPr>
        <xdr:cNvSpPr>
          <a:spLocks/>
        </xdr:cNvSpPr>
      </xdr:nvSpPr>
      <xdr:spPr>
        <a:xfrm>
          <a:off x="47625" y="66579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44</xdr:row>
      <xdr:rowOff>0</xdr:rowOff>
    </xdr:from>
    <xdr:ext cx="200025" cy="200025"/>
    <xdr:sp>
      <xdr:nvSpPr>
        <xdr:cNvPr id="57" name="Oval 427">
          <a:hlinkClick r:id="rId20"/>
        </xdr:cNvPr>
        <xdr:cNvSpPr>
          <a:spLocks/>
        </xdr:cNvSpPr>
      </xdr:nvSpPr>
      <xdr:spPr>
        <a:xfrm>
          <a:off x="28575" y="72580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53</xdr:row>
      <xdr:rowOff>0</xdr:rowOff>
    </xdr:from>
    <xdr:ext cx="200025" cy="200025"/>
    <xdr:sp>
      <xdr:nvSpPr>
        <xdr:cNvPr id="58" name="Oval 428">
          <a:hlinkClick r:id="rId21"/>
        </xdr:cNvPr>
        <xdr:cNvSpPr>
          <a:spLocks/>
        </xdr:cNvSpPr>
      </xdr:nvSpPr>
      <xdr:spPr>
        <a:xfrm>
          <a:off x="28575" y="86296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55</xdr:row>
      <xdr:rowOff>0</xdr:rowOff>
    </xdr:from>
    <xdr:ext cx="200025" cy="200025"/>
    <xdr:sp>
      <xdr:nvSpPr>
        <xdr:cNvPr id="59" name="Oval 429">
          <a:hlinkClick r:id="rId22"/>
        </xdr:cNvPr>
        <xdr:cNvSpPr>
          <a:spLocks/>
        </xdr:cNvSpPr>
      </xdr:nvSpPr>
      <xdr:spPr>
        <a:xfrm>
          <a:off x="28575" y="89344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58</xdr:row>
      <xdr:rowOff>0</xdr:rowOff>
    </xdr:from>
    <xdr:ext cx="200025" cy="200025"/>
    <xdr:sp>
      <xdr:nvSpPr>
        <xdr:cNvPr id="60" name="Oval 430">
          <a:hlinkClick r:id="rId23"/>
        </xdr:cNvPr>
        <xdr:cNvSpPr>
          <a:spLocks/>
        </xdr:cNvSpPr>
      </xdr:nvSpPr>
      <xdr:spPr>
        <a:xfrm>
          <a:off x="28575" y="93916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60</xdr:row>
      <xdr:rowOff>104775</xdr:rowOff>
    </xdr:from>
    <xdr:ext cx="200025" cy="200025"/>
    <xdr:sp>
      <xdr:nvSpPr>
        <xdr:cNvPr id="61" name="Oval 431">
          <a:hlinkClick r:id="rId24"/>
        </xdr:cNvPr>
        <xdr:cNvSpPr>
          <a:spLocks/>
        </xdr:cNvSpPr>
      </xdr:nvSpPr>
      <xdr:spPr>
        <a:xfrm>
          <a:off x="28575" y="98012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62</xdr:row>
      <xdr:rowOff>28575</xdr:rowOff>
    </xdr:from>
    <xdr:ext cx="200025" cy="200025"/>
    <xdr:sp>
      <xdr:nvSpPr>
        <xdr:cNvPr id="62" name="Oval 432">
          <a:hlinkClick r:id="rId25"/>
        </xdr:cNvPr>
        <xdr:cNvSpPr>
          <a:spLocks/>
        </xdr:cNvSpPr>
      </xdr:nvSpPr>
      <xdr:spPr>
        <a:xfrm>
          <a:off x="28575" y="100298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28575</xdr:colOff>
      <xdr:row>28</xdr:row>
      <xdr:rowOff>142875</xdr:rowOff>
    </xdr:from>
    <xdr:ext cx="200025" cy="200025"/>
    <xdr:sp>
      <xdr:nvSpPr>
        <xdr:cNvPr id="63" name="Oval 433">
          <a:hlinkClick r:id="rId26"/>
        </xdr:cNvPr>
        <xdr:cNvSpPr>
          <a:spLocks/>
        </xdr:cNvSpPr>
      </xdr:nvSpPr>
      <xdr:spPr>
        <a:xfrm>
          <a:off x="28575" y="49815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xdr:row>
      <xdr:rowOff>0</xdr:rowOff>
    </xdr:from>
    <xdr:to>
      <xdr:col>22</xdr:col>
      <xdr:colOff>9525</xdr:colOff>
      <xdr:row>2</xdr:row>
      <xdr:rowOff>0</xdr:rowOff>
    </xdr:to>
    <xdr:sp macro="[0]!Apri_Sottosezione_1">
      <xdr:nvSpPr>
        <xdr:cNvPr id="1" name="Rectangle 1"/>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
      <xdr:nvSpPr>
        <xdr:cNvPr id="2" name="Rectangle 2"/>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3">
      <xdr:nvSpPr>
        <xdr:cNvPr id="3" name="Rectangle 3"/>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4">
      <xdr:nvSpPr>
        <xdr:cNvPr id="4" name="Rectangle 4"/>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5">
      <xdr:nvSpPr>
        <xdr:cNvPr id="5" name="Rectangle 5"/>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6">
      <xdr:nvSpPr>
        <xdr:cNvPr id="6" name="Rectangle 6"/>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7">
      <xdr:nvSpPr>
        <xdr:cNvPr id="7" name="Rectangle 7"/>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8">
      <xdr:nvSpPr>
        <xdr:cNvPr id="8" name="Rectangle 8"/>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9">
      <xdr:nvSpPr>
        <xdr:cNvPr id="9" name="Rectangle 9"/>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0">
      <xdr:nvSpPr>
        <xdr:cNvPr id="10" name="Rectangle 10"/>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1">
      <xdr:nvSpPr>
        <xdr:cNvPr id="11" name="Rectangle 11"/>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2">
      <xdr:nvSpPr>
        <xdr:cNvPr id="12" name="Rectangle 12"/>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3">
      <xdr:nvSpPr>
        <xdr:cNvPr id="13" name="Rectangle 13"/>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4">
      <xdr:nvSpPr>
        <xdr:cNvPr id="14" name="Rectangle 14"/>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5">
      <xdr:nvSpPr>
        <xdr:cNvPr id="15" name="Rectangle 15"/>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6">
      <xdr:nvSpPr>
        <xdr:cNvPr id="16" name="Rectangle 16"/>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7">
      <xdr:nvSpPr>
        <xdr:cNvPr id="17" name="Rectangle 17"/>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8">
      <xdr:nvSpPr>
        <xdr:cNvPr id="18" name="Rectangle 18"/>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19">
      <xdr:nvSpPr>
        <xdr:cNvPr id="19" name="Rectangle 19"/>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0">
      <xdr:nvSpPr>
        <xdr:cNvPr id="20" name="Rectangle 20"/>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1">
      <xdr:nvSpPr>
        <xdr:cNvPr id="21" name="Rectangle 21"/>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2">
      <xdr:nvSpPr>
        <xdr:cNvPr id="22" name="Rectangle 22"/>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3">
      <xdr:nvSpPr>
        <xdr:cNvPr id="23" name="Rectangle 23"/>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4">
      <xdr:nvSpPr>
        <xdr:cNvPr id="24" name="Rectangle 24"/>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21</xdr:col>
      <xdr:colOff>76200</xdr:colOff>
      <xdr:row>2</xdr:row>
      <xdr:rowOff>0</xdr:rowOff>
    </xdr:from>
    <xdr:to>
      <xdr:col>22</xdr:col>
      <xdr:colOff>9525</xdr:colOff>
      <xdr:row>2</xdr:row>
      <xdr:rowOff>0</xdr:rowOff>
    </xdr:to>
    <xdr:sp macro="[0]!Apri_Sottosezione_25">
      <xdr:nvSpPr>
        <xdr:cNvPr id="25" name="Rectangle 25"/>
        <xdr:cNvSpPr>
          <a:spLocks/>
        </xdr:cNvSpPr>
      </xdr:nvSpPr>
      <xdr:spPr>
        <a:xfrm>
          <a:off x="6429375" y="904875"/>
          <a:ext cx="2571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23</xdr:col>
      <xdr:colOff>0</xdr:colOff>
      <xdr:row>2</xdr:row>
      <xdr:rowOff>0</xdr:rowOff>
    </xdr:from>
    <xdr:to>
      <xdr:col>23</xdr:col>
      <xdr:colOff>0</xdr:colOff>
      <xdr:row>2</xdr:row>
      <xdr:rowOff>0</xdr:rowOff>
    </xdr:to>
    <xdr:graphicFrame>
      <xdr:nvGraphicFramePr>
        <xdr:cNvPr id="26" name="Chart 31"/>
        <xdr:cNvGraphicFramePr/>
      </xdr:nvGraphicFramePr>
      <xdr:xfrm>
        <a:off x="7162800" y="904875"/>
        <a:ext cx="0" cy="0"/>
      </xdr:xfrm>
      <a:graphic>
        <a:graphicData uri="http://schemas.openxmlformats.org/drawingml/2006/chart">
          <c:chart xmlns:c="http://schemas.openxmlformats.org/drawingml/2006/chart" r:id="rId1"/>
        </a:graphicData>
      </a:graphic>
    </xdr:graphicFrame>
    <xdr:clientData/>
  </xdr:twoCellAnchor>
  <xdr:twoCellAnchor>
    <xdr:from>
      <xdr:col>23</xdr:col>
      <xdr:colOff>0</xdr:colOff>
      <xdr:row>2</xdr:row>
      <xdr:rowOff>0</xdr:rowOff>
    </xdr:from>
    <xdr:to>
      <xdr:col>23</xdr:col>
      <xdr:colOff>0</xdr:colOff>
      <xdr:row>2</xdr:row>
      <xdr:rowOff>0</xdr:rowOff>
    </xdr:to>
    <xdr:graphicFrame>
      <xdr:nvGraphicFramePr>
        <xdr:cNvPr id="27" name="Chart 32"/>
        <xdr:cNvGraphicFramePr/>
      </xdr:nvGraphicFramePr>
      <xdr:xfrm>
        <a:off x="7162800" y="904875"/>
        <a:ext cx="0" cy="0"/>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2</xdr:row>
      <xdr:rowOff>0</xdr:rowOff>
    </xdr:from>
    <xdr:to>
      <xdr:col>23</xdr:col>
      <xdr:colOff>0</xdr:colOff>
      <xdr:row>2</xdr:row>
      <xdr:rowOff>0</xdr:rowOff>
    </xdr:to>
    <xdr:graphicFrame>
      <xdr:nvGraphicFramePr>
        <xdr:cNvPr id="28" name="Chart 33"/>
        <xdr:cNvGraphicFramePr/>
      </xdr:nvGraphicFramePr>
      <xdr:xfrm>
        <a:off x="7162800" y="904875"/>
        <a:ext cx="0" cy="0"/>
      </xdr:xfrm>
      <a:graphic>
        <a:graphicData uri="http://schemas.openxmlformats.org/drawingml/2006/chart">
          <c:chart xmlns:c="http://schemas.openxmlformats.org/drawingml/2006/chart" r:id="rId3"/>
        </a:graphicData>
      </a:graphic>
    </xdr:graphicFrame>
    <xdr:clientData/>
  </xdr:twoCellAnchor>
  <xdr:twoCellAnchor>
    <xdr:from>
      <xdr:col>23</xdr:col>
      <xdr:colOff>0</xdr:colOff>
      <xdr:row>2</xdr:row>
      <xdr:rowOff>0</xdr:rowOff>
    </xdr:from>
    <xdr:to>
      <xdr:col>23</xdr:col>
      <xdr:colOff>0</xdr:colOff>
      <xdr:row>2</xdr:row>
      <xdr:rowOff>0</xdr:rowOff>
    </xdr:to>
    <xdr:graphicFrame>
      <xdr:nvGraphicFramePr>
        <xdr:cNvPr id="29" name="Chart 34"/>
        <xdr:cNvGraphicFramePr/>
      </xdr:nvGraphicFramePr>
      <xdr:xfrm>
        <a:off x="7162800" y="904875"/>
        <a:ext cx="0" cy="0"/>
      </xdr:xfrm>
      <a:graphic>
        <a:graphicData uri="http://schemas.openxmlformats.org/drawingml/2006/chart">
          <c:chart xmlns:c="http://schemas.openxmlformats.org/drawingml/2006/chart" r:id="rId4"/>
        </a:graphicData>
      </a:graphic>
    </xdr:graphicFrame>
    <xdr:clientData/>
  </xdr:twoCellAnchor>
  <xdr:twoCellAnchor>
    <xdr:from>
      <xdr:col>23</xdr:col>
      <xdr:colOff>0</xdr:colOff>
      <xdr:row>2</xdr:row>
      <xdr:rowOff>0</xdr:rowOff>
    </xdr:from>
    <xdr:to>
      <xdr:col>23</xdr:col>
      <xdr:colOff>0</xdr:colOff>
      <xdr:row>2</xdr:row>
      <xdr:rowOff>0</xdr:rowOff>
    </xdr:to>
    <xdr:graphicFrame>
      <xdr:nvGraphicFramePr>
        <xdr:cNvPr id="30" name="Chart 35"/>
        <xdr:cNvGraphicFramePr/>
      </xdr:nvGraphicFramePr>
      <xdr:xfrm>
        <a:off x="7162800" y="904875"/>
        <a:ext cx="0" cy="0"/>
      </xdr:xfrm>
      <a:graphic>
        <a:graphicData uri="http://schemas.openxmlformats.org/drawingml/2006/chart">
          <c:chart xmlns:c="http://schemas.openxmlformats.org/drawingml/2006/chart" r:id="rId5"/>
        </a:graphicData>
      </a:graphic>
    </xdr:graphicFrame>
    <xdr:clientData/>
  </xdr:twoCellAnchor>
  <xdr:twoCellAnchor>
    <xdr:from>
      <xdr:col>5</xdr:col>
      <xdr:colOff>171450</xdr:colOff>
      <xdr:row>2</xdr:row>
      <xdr:rowOff>0</xdr:rowOff>
    </xdr:from>
    <xdr:to>
      <xdr:col>23</xdr:col>
      <xdr:colOff>0</xdr:colOff>
      <xdr:row>2</xdr:row>
      <xdr:rowOff>0</xdr:rowOff>
    </xdr:to>
    <xdr:graphicFrame>
      <xdr:nvGraphicFramePr>
        <xdr:cNvPr id="31" name="Chart 36"/>
        <xdr:cNvGraphicFramePr/>
      </xdr:nvGraphicFramePr>
      <xdr:xfrm>
        <a:off x="1533525" y="904875"/>
        <a:ext cx="5629275" cy="0"/>
      </xdr:xfrm>
      <a:graphic>
        <a:graphicData uri="http://schemas.openxmlformats.org/drawingml/2006/chart">
          <c:chart xmlns:c="http://schemas.openxmlformats.org/drawingml/2006/chart" r:id="rId6"/>
        </a:graphicData>
      </a:graphic>
    </xdr:graphicFrame>
    <xdr:clientData/>
  </xdr:twoCellAnchor>
  <xdr:twoCellAnchor>
    <xdr:from>
      <xdr:col>14</xdr:col>
      <xdr:colOff>123825</xdr:colOff>
      <xdr:row>30</xdr:row>
      <xdr:rowOff>180975</xdr:rowOff>
    </xdr:from>
    <xdr:to>
      <xdr:col>22</xdr:col>
      <xdr:colOff>171450</xdr:colOff>
      <xdr:row>35</xdr:row>
      <xdr:rowOff>47625</xdr:rowOff>
    </xdr:to>
    <xdr:grpSp>
      <xdr:nvGrpSpPr>
        <xdr:cNvPr id="32" name="Group 217"/>
        <xdr:cNvGrpSpPr>
          <a:grpSpLocks/>
        </xdr:cNvGrpSpPr>
      </xdr:nvGrpSpPr>
      <xdr:grpSpPr>
        <a:xfrm>
          <a:off x="4191000" y="6362700"/>
          <a:ext cx="2657475" cy="819150"/>
          <a:chOff x="457" y="648"/>
          <a:chExt cx="274" cy="86"/>
        </a:xfrm>
        <a:solidFill>
          <a:srgbClr val="FFFFFF"/>
        </a:solidFill>
      </xdr:grpSpPr>
    </xdr:grpSp>
    <xdr:clientData/>
  </xdr:twoCellAnchor>
  <xdr:oneCellAnchor>
    <xdr:from>
      <xdr:col>1</xdr:col>
      <xdr:colOff>47625</xdr:colOff>
      <xdr:row>41</xdr:row>
      <xdr:rowOff>114300</xdr:rowOff>
    </xdr:from>
    <xdr:ext cx="981075" cy="400050"/>
    <xdr:grpSp>
      <xdr:nvGrpSpPr>
        <xdr:cNvPr id="37" name="Group 368">
          <a:hlinkClick r:id="rId7"/>
        </xdr:cNvPr>
        <xdr:cNvGrpSpPr>
          <a:grpSpLocks/>
        </xdr:cNvGrpSpPr>
      </xdr:nvGrpSpPr>
      <xdr:grpSpPr>
        <a:xfrm>
          <a:off x="295275" y="8391525"/>
          <a:ext cx="981075" cy="400050"/>
          <a:chOff x="31" y="881"/>
          <a:chExt cx="103" cy="42"/>
        </a:xfrm>
        <a:solidFill>
          <a:srgbClr val="FFFFFF"/>
        </a:solidFill>
      </xdr:grpSpPr>
      <xdr:sp>
        <xdr:nvSpPr>
          <xdr:cNvPr id="38" name="Rectangle 268"/>
          <xdr:cNvSpPr>
            <a:spLocks/>
          </xdr:cNvSpPr>
        </xdr:nvSpPr>
        <xdr:spPr>
          <a:xfrm>
            <a:off x="31" y="881"/>
            <a:ext cx="10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9" name="TextBox 269"/>
          <xdr:cNvSpPr txBox="1">
            <a:spLocks noChangeArrowheads="1"/>
          </xdr:cNvSpPr>
        </xdr:nvSpPr>
        <xdr:spPr>
          <a:xfrm>
            <a:off x="58" y="895"/>
            <a:ext cx="40" cy="19"/>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fLocksWithSheet="0"/>
  </xdr:oneCellAnchor>
  <xdr:oneCellAnchor>
    <xdr:from>
      <xdr:col>5</xdr:col>
      <xdr:colOff>76200</xdr:colOff>
      <xdr:row>41</xdr:row>
      <xdr:rowOff>114300</xdr:rowOff>
    </xdr:from>
    <xdr:ext cx="885825" cy="400050"/>
    <xdr:grpSp>
      <xdr:nvGrpSpPr>
        <xdr:cNvPr id="40" name="Group 369">
          <a:hlinkClick r:id="rId8"/>
        </xdr:cNvPr>
        <xdr:cNvGrpSpPr>
          <a:grpSpLocks/>
        </xdr:cNvGrpSpPr>
      </xdr:nvGrpSpPr>
      <xdr:grpSpPr>
        <a:xfrm>
          <a:off x="1438275" y="8391525"/>
          <a:ext cx="885825" cy="400050"/>
          <a:chOff x="151" y="881"/>
          <a:chExt cx="93" cy="42"/>
        </a:xfrm>
        <a:solidFill>
          <a:srgbClr val="FFFFFF"/>
        </a:solidFill>
      </xdr:grpSpPr>
      <xdr:sp>
        <xdr:nvSpPr>
          <xdr:cNvPr id="41" name="Rectangle 271"/>
          <xdr:cNvSpPr>
            <a:spLocks/>
          </xdr:cNvSpPr>
        </xdr:nvSpPr>
        <xdr:spPr>
          <a:xfrm>
            <a:off x="151" y="881"/>
            <a:ext cx="9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2" name="TextBox 272"/>
          <xdr:cNvSpPr txBox="1">
            <a:spLocks noChangeArrowheads="1"/>
          </xdr:cNvSpPr>
        </xdr:nvSpPr>
        <xdr:spPr>
          <a:xfrm>
            <a:off x="169" y="888"/>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torna a
contesto</a:t>
            </a:r>
          </a:p>
        </xdr:txBody>
      </xdr:sp>
    </xdr:grpSp>
    <xdr:clientData fLocksWithSheet="0"/>
  </xdr:oneCellAnchor>
  <xdr:oneCellAnchor>
    <xdr:from>
      <xdr:col>9</xdr:col>
      <xdr:colOff>0</xdr:colOff>
      <xdr:row>41</xdr:row>
      <xdr:rowOff>123825</xdr:rowOff>
    </xdr:from>
    <xdr:ext cx="971550" cy="400050"/>
    <xdr:grpSp>
      <xdr:nvGrpSpPr>
        <xdr:cNvPr id="43" name="Group 370">
          <a:hlinkClick r:id="rId9"/>
        </xdr:cNvPr>
        <xdr:cNvGrpSpPr>
          <a:grpSpLocks/>
        </xdr:cNvGrpSpPr>
      </xdr:nvGrpSpPr>
      <xdr:grpSpPr>
        <a:xfrm>
          <a:off x="2447925" y="8401050"/>
          <a:ext cx="971550" cy="400050"/>
          <a:chOff x="257" y="882"/>
          <a:chExt cx="102" cy="42"/>
        </a:xfrm>
        <a:solidFill>
          <a:srgbClr val="FFFFFF"/>
        </a:solidFill>
      </xdr:grpSpPr>
      <xdr:sp>
        <xdr:nvSpPr>
          <xdr:cNvPr id="44" name="Rectangle 274"/>
          <xdr:cNvSpPr>
            <a:spLocks/>
          </xdr:cNvSpPr>
        </xdr:nvSpPr>
        <xdr:spPr>
          <a:xfrm>
            <a:off x="257" y="882"/>
            <a:ext cx="102"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5" name="TextBox 275"/>
          <xdr:cNvSpPr txBox="1">
            <a:spLocks noChangeArrowheads="1"/>
          </xdr:cNvSpPr>
        </xdr:nvSpPr>
        <xdr:spPr>
          <a:xfrm>
            <a:off x="280" y="888"/>
            <a:ext cx="53"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scegli il
modello</a:t>
            </a:r>
          </a:p>
        </xdr:txBody>
      </xdr:sp>
    </xdr:grpSp>
    <xdr:clientData fLocksWithSheet="0"/>
  </xdr:oneCellAnchor>
  <xdr:oneCellAnchor>
    <xdr:from>
      <xdr:col>12</xdr:col>
      <xdr:colOff>161925</xdr:colOff>
      <xdr:row>41</xdr:row>
      <xdr:rowOff>123825</xdr:rowOff>
    </xdr:from>
    <xdr:ext cx="981075" cy="400050"/>
    <xdr:grpSp>
      <xdr:nvGrpSpPr>
        <xdr:cNvPr id="46" name="Group 276">
          <a:hlinkClick r:id="rId10"/>
        </xdr:cNvPr>
        <xdr:cNvGrpSpPr>
          <a:grpSpLocks/>
        </xdr:cNvGrpSpPr>
      </xdr:nvGrpSpPr>
      <xdr:grpSpPr>
        <a:xfrm>
          <a:off x="3571875" y="8401050"/>
          <a:ext cx="981075" cy="400050"/>
          <a:chOff x="413" y="560"/>
          <a:chExt cx="103" cy="42"/>
        </a:xfrm>
        <a:solidFill>
          <a:srgbClr val="FFFFFF"/>
        </a:solidFill>
      </xdr:grpSpPr>
      <xdr:sp>
        <xdr:nvSpPr>
          <xdr:cNvPr id="47" name="Rectangle 277"/>
          <xdr:cNvSpPr>
            <a:spLocks/>
          </xdr:cNvSpPr>
        </xdr:nvSpPr>
        <xdr:spPr>
          <a:xfrm>
            <a:off x="413"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8" name="TextBox 278"/>
          <xdr:cNvSpPr txBox="1">
            <a:spLocks noChangeArrowheads="1"/>
          </xdr:cNvSpPr>
        </xdr:nvSpPr>
        <xdr:spPr>
          <a:xfrm>
            <a:off x="425" y="563"/>
            <a:ext cx="66"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bottom-up</a:t>
            </a:r>
          </a:p>
        </xdr:txBody>
      </xdr:sp>
    </xdr:grpSp>
    <xdr:clientData fLocksWithSheet="0"/>
  </xdr:oneCellAnchor>
  <xdr:oneCellAnchor>
    <xdr:from>
      <xdr:col>15</xdr:col>
      <xdr:colOff>276225</xdr:colOff>
      <xdr:row>41</xdr:row>
      <xdr:rowOff>123825</xdr:rowOff>
    </xdr:from>
    <xdr:ext cx="1000125" cy="400050"/>
    <xdr:grpSp>
      <xdr:nvGrpSpPr>
        <xdr:cNvPr id="49" name="Group 279">
          <a:hlinkClick r:id="rId11"/>
        </xdr:cNvPr>
        <xdr:cNvGrpSpPr>
          <a:grpSpLocks/>
        </xdr:cNvGrpSpPr>
      </xdr:nvGrpSpPr>
      <xdr:grpSpPr>
        <a:xfrm>
          <a:off x="4686300" y="8401050"/>
          <a:ext cx="1000125" cy="400050"/>
          <a:chOff x="530" y="560"/>
          <a:chExt cx="103" cy="42"/>
        </a:xfrm>
        <a:solidFill>
          <a:srgbClr val="FFFFFF"/>
        </a:solidFill>
      </xdr:grpSpPr>
      <xdr:sp>
        <xdr:nvSpPr>
          <xdr:cNvPr id="50" name="Rectangle 280"/>
          <xdr:cNvSpPr>
            <a:spLocks/>
          </xdr:cNvSpPr>
        </xdr:nvSpPr>
        <xdr:spPr>
          <a:xfrm>
            <a:off x="530"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1" name="TextBox 281"/>
          <xdr:cNvSpPr txBox="1">
            <a:spLocks noChangeArrowheads="1"/>
          </xdr:cNvSpPr>
        </xdr:nvSpPr>
        <xdr:spPr>
          <a:xfrm>
            <a:off x="547" y="566"/>
            <a:ext cx="60"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top-down</a:t>
            </a:r>
          </a:p>
        </xdr:txBody>
      </xdr:sp>
    </xdr:grpSp>
    <xdr:clientData fLocksWithSheet="0"/>
  </xdr:oneCellAnchor>
  <xdr:oneCellAnchor>
    <xdr:from>
      <xdr:col>19</xdr:col>
      <xdr:colOff>142875</xdr:colOff>
      <xdr:row>41</xdr:row>
      <xdr:rowOff>123825</xdr:rowOff>
    </xdr:from>
    <xdr:ext cx="952500" cy="400050"/>
    <xdr:grpSp>
      <xdr:nvGrpSpPr>
        <xdr:cNvPr id="52" name="Group 371">
          <a:hlinkClick r:id="rId12"/>
        </xdr:cNvPr>
        <xdr:cNvGrpSpPr>
          <a:grpSpLocks/>
        </xdr:cNvGrpSpPr>
      </xdr:nvGrpSpPr>
      <xdr:grpSpPr>
        <a:xfrm>
          <a:off x="5819775" y="8401050"/>
          <a:ext cx="952500" cy="400050"/>
          <a:chOff x="611" y="882"/>
          <a:chExt cx="100" cy="42"/>
        </a:xfrm>
        <a:solidFill>
          <a:srgbClr val="FFFFFF"/>
        </a:solidFill>
      </xdr:grpSpPr>
      <xdr:sp>
        <xdr:nvSpPr>
          <xdr:cNvPr id="53" name="Rectangle 283"/>
          <xdr:cNvSpPr>
            <a:spLocks/>
          </xdr:cNvSpPr>
        </xdr:nvSpPr>
        <xdr:spPr>
          <a:xfrm>
            <a:off x="611" y="882"/>
            <a:ext cx="100"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4" name="TextBox 284"/>
          <xdr:cNvSpPr txBox="1">
            <a:spLocks noChangeArrowheads="1"/>
          </xdr:cNvSpPr>
        </xdr:nvSpPr>
        <xdr:spPr>
          <a:xfrm>
            <a:off x="627" y="888"/>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al
riepilogo</a:t>
            </a:r>
          </a:p>
        </xdr:txBody>
      </xdr:sp>
    </xdr:grpSp>
    <xdr:clientData fLocksWithSheet="0"/>
  </xdr:oneCellAnchor>
  <xdr:oneCellAnchor>
    <xdr:from>
      <xdr:col>0</xdr:col>
      <xdr:colOff>47625</xdr:colOff>
      <xdr:row>8</xdr:row>
      <xdr:rowOff>0</xdr:rowOff>
    </xdr:from>
    <xdr:ext cx="200025" cy="200025"/>
    <xdr:sp>
      <xdr:nvSpPr>
        <xdr:cNvPr id="55" name="Oval 372">
          <a:hlinkClick r:id="rId13"/>
        </xdr:cNvPr>
        <xdr:cNvSpPr>
          <a:spLocks/>
        </xdr:cNvSpPr>
      </xdr:nvSpPr>
      <xdr:spPr>
        <a:xfrm>
          <a:off x="47625" y="20383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13</xdr:row>
      <xdr:rowOff>9525</xdr:rowOff>
    </xdr:from>
    <xdr:ext cx="200025" cy="200025"/>
    <xdr:sp>
      <xdr:nvSpPr>
        <xdr:cNvPr id="56" name="Oval 373">
          <a:hlinkClick r:id="rId14"/>
        </xdr:cNvPr>
        <xdr:cNvSpPr>
          <a:spLocks/>
        </xdr:cNvSpPr>
      </xdr:nvSpPr>
      <xdr:spPr>
        <a:xfrm>
          <a:off x="47625" y="29527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16</xdr:row>
      <xdr:rowOff>0</xdr:rowOff>
    </xdr:from>
    <xdr:ext cx="200025" cy="200025"/>
    <xdr:sp>
      <xdr:nvSpPr>
        <xdr:cNvPr id="57" name="Oval 374">
          <a:hlinkClick r:id="rId15"/>
        </xdr:cNvPr>
        <xdr:cNvSpPr>
          <a:spLocks/>
        </xdr:cNvSpPr>
      </xdr:nvSpPr>
      <xdr:spPr>
        <a:xfrm>
          <a:off x="47625" y="35147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19</xdr:row>
      <xdr:rowOff>161925</xdr:rowOff>
    </xdr:from>
    <xdr:ext cx="200025" cy="200025"/>
    <xdr:sp>
      <xdr:nvSpPr>
        <xdr:cNvPr id="58" name="Oval 375">
          <a:hlinkClick r:id="rId16"/>
        </xdr:cNvPr>
        <xdr:cNvSpPr>
          <a:spLocks/>
        </xdr:cNvSpPr>
      </xdr:nvSpPr>
      <xdr:spPr>
        <a:xfrm>
          <a:off x="47625" y="42481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22</xdr:row>
      <xdr:rowOff>9525</xdr:rowOff>
    </xdr:from>
    <xdr:ext cx="200025" cy="200025"/>
    <xdr:sp>
      <xdr:nvSpPr>
        <xdr:cNvPr id="59" name="Oval 376">
          <a:hlinkClick r:id="rId17"/>
        </xdr:cNvPr>
        <xdr:cNvSpPr>
          <a:spLocks/>
        </xdr:cNvSpPr>
      </xdr:nvSpPr>
      <xdr:spPr>
        <a:xfrm>
          <a:off x="38100" y="46672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27</xdr:row>
      <xdr:rowOff>38100</xdr:rowOff>
    </xdr:from>
    <xdr:ext cx="200025" cy="200025"/>
    <xdr:sp>
      <xdr:nvSpPr>
        <xdr:cNvPr id="60" name="Oval 377">
          <a:hlinkClick r:id="rId18"/>
        </xdr:cNvPr>
        <xdr:cNvSpPr>
          <a:spLocks/>
        </xdr:cNvSpPr>
      </xdr:nvSpPr>
      <xdr:spPr>
        <a:xfrm>
          <a:off x="38100" y="56483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36</xdr:row>
      <xdr:rowOff>171450</xdr:rowOff>
    </xdr:from>
    <xdr:ext cx="200025" cy="200025"/>
    <xdr:sp>
      <xdr:nvSpPr>
        <xdr:cNvPr id="61" name="Oval 378">
          <a:hlinkClick r:id="rId19"/>
        </xdr:cNvPr>
        <xdr:cNvSpPr>
          <a:spLocks/>
        </xdr:cNvSpPr>
      </xdr:nvSpPr>
      <xdr:spPr>
        <a:xfrm>
          <a:off x="38100" y="74961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xdr:row>
      <xdr:rowOff>0</xdr:rowOff>
    </xdr:from>
    <xdr:to>
      <xdr:col>12</xdr:col>
      <xdr:colOff>9525</xdr:colOff>
      <xdr:row>2</xdr:row>
      <xdr:rowOff>0</xdr:rowOff>
    </xdr:to>
    <xdr:sp macro="[2]!Apri_Sottosezione_1">
      <xdr:nvSpPr>
        <xdr:cNvPr id="1" name="Rectangle 1"/>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
      <xdr:nvSpPr>
        <xdr:cNvPr id="2" name="Rectangle 2"/>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3">
      <xdr:nvSpPr>
        <xdr:cNvPr id="3" name="Rectangle 3"/>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4">
      <xdr:nvSpPr>
        <xdr:cNvPr id="4" name="Rectangle 4"/>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5">
      <xdr:nvSpPr>
        <xdr:cNvPr id="5" name="Rectangle 5"/>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6">
      <xdr:nvSpPr>
        <xdr:cNvPr id="6" name="Rectangle 6"/>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7">
      <xdr:nvSpPr>
        <xdr:cNvPr id="7" name="Rectangle 7"/>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8">
      <xdr:nvSpPr>
        <xdr:cNvPr id="8" name="Rectangle 8"/>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9">
      <xdr:nvSpPr>
        <xdr:cNvPr id="9" name="Rectangle 9"/>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0">
      <xdr:nvSpPr>
        <xdr:cNvPr id="10" name="Rectangle 10"/>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1">
      <xdr:nvSpPr>
        <xdr:cNvPr id="11" name="Rectangle 11"/>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2">
      <xdr:nvSpPr>
        <xdr:cNvPr id="12" name="Rectangle 12"/>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3">
      <xdr:nvSpPr>
        <xdr:cNvPr id="13" name="Rectangle 13"/>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4">
      <xdr:nvSpPr>
        <xdr:cNvPr id="14" name="Rectangle 14"/>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5">
      <xdr:nvSpPr>
        <xdr:cNvPr id="15" name="Rectangle 15"/>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6">
      <xdr:nvSpPr>
        <xdr:cNvPr id="16" name="Rectangle 16"/>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7">
      <xdr:nvSpPr>
        <xdr:cNvPr id="17" name="Rectangle 17"/>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8">
      <xdr:nvSpPr>
        <xdr:cNvPr id="18" name="Rectangle 18"/>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19">
      <xdr:nvSpPr>
        <xdr:cNvPr id="19" name="Rectangle 19"/>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0">
      <xdr:nvSpPr>
        <xdr:cNvPr id="20" name="Rectangle 20"/>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1">
      <xdr:nvSpPr>
        <xdr:cNvPr id="21" name="Rectangle 21"/>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2">
      <xdr:nvSpPr>
        <xdr:cNvPr id="22" name="Rectangle 22"/>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3">
      <xdr:nvSpPr>
        <xdr:cNvPr id="23" name="Rectangle 23"/>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4">
      <xdr:nvSpPr>
        <xdr:cNvPr id="24" name="Rectangle 24"/>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xdr:row>
      <xdr:rowOff>0</xdr:rowOff>
    </xdr:from>
    <xdr:to>
      <xdr:col>12</xdr:col>
      <xdr:colOff>9525</xdr:colOff>
      <xdr:row>2</xdr:row>
      <xdr:rowOff>0</xdr:rowOff>
    </xdr:to>
    <xdr:sp macro="[2]!Apri_Sottosezione_25">
      <xdr:nvSpPr>
        <xdr:cNvPr id="25" name="Rectangle 25"/>
        <xdr:cNvSpPr>
          <a:spLocks/>
        </xdr:cNvSpPr>
      </xdr:nvSpPr>
      <xdr:spPr>
        <a:xfrm>
          <a:off x="6534150" y="885825"/>
          <a:ext cx="6191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13</xdr:col>
      <xdr:colOff>0</xdr:colOff>
      <xdr:row>2</xdr:row>
      <xdr:rowOff>0</xdr:rowOff>
    </xdr:from>
    <xdr:to>
      <xdr:col>13</xdr:col>
      <xdr:colOff>0</xdr:colOff>
      <xdr:row>2</xdr:row>
      <xdr:rowOff>0</xdr:rowOff>
    </xdr:to>
    <xdr:graphicFrame>
      <xdr:nvGraphicFramePr>
        <xdr:cNvPr id="26" name="Chart 31"/>
        <xdr:cNvGraphicFramePr/>
      </xdr:nvGraphicFramePr>
      <xdr:xfrm>
        <a:off x="7658100" y="885825"/>
        <a:ext cx="0" cy="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7" name="Chart 32"/>
        <xdr:cNvGraphicFramePr/>
      </xdr:nvGraphicFramePr>
      <xdr:xfrm>
        <a:off x="7658100" y="885825"/>
        <a:ext cx="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8" name="Chart 33"/>
        <xdr:cNvGraphicFramePr/>
      </xdr:nvGraphicFramePr>
      <xdr:xfrm>
        <a:off x="7658100" y="885825"/>
        <a:ext cx="0" cy="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29" name="Chart 34"/>
        <xdr:cNvGraphicFramePr/>
      </xdr:nvGraphicFramePr>
      <xdr:xfrm>
        <a:off x="7658100" y="88582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2</xdr:row>
      <xdr:rowOff>0</xdr:rowOff>
    </xdr:from>
    <xdr:to>
      <xdr:col>13</xdr:col>
      <xdr:colOff>0</xdr:colOff>
      <xdr:row>2</xdr:row>
      <xdr:rowOff>0</xdr:rowOff>
    </xdr:to>
    <xdr:graphicFrame>
      <xdr:nvGraphicFramePr>
        <xdr:cNvPr id="30" name="Chart 35"/>
        <xdr:cNvGraphicFramePr/>
      </xdr:nvGraphicFramePr>
      <xdr:xfrm>
        <a:off x="7658100" y="885825"/>
        <a:ext cx="0" cy="0"/>
      </xdr:xfrm>
      <a:graphic>
        <a:graphicData uri="http://schemas.openxmlformats.org/drawingml/2006/chart">
          <c:chart xmlns:c="http://schemas.openxmlformats.org/drawingml/2006/chart" r:id="rId5"/>
        </a:graphicData>
      </a:graphic>
    </xdr:graphicFrame>
    <xdr:clientData/>
  </xdr:twoCellAnchor>
  <xdr:twoCellAnchor>
    <xdr:from>
      <xdr:col>8</xdr:col>
      <xdr:colOff>171450</xdr:colOff>
      <xdr:row>2</xdr:row>
      <xdr:rowOff>0</xdr:rowOff>
    </xdr:from>
    <xdr:to>
      <xdr:col>13</xdr:col>
      <xdr:colOff>0</xdr:colOff>
      <xdr:row>2</xdr:row>
      <xdr:rowOff>0</xdr:rowOff>
    </xdr:to>
    <xdr:graphicFrame>
      <xdr:nvGraphicFramePr>
        <xdr:cNvPr id="31" name="Chart 36"/>
        <xdr:cNvGraphicFramePr/>
      </xdr:nvGraphicFramePr>
      <xdr:xfrm>
        <a:off x="4857750" y="885825"/>
        <a:ext cx="280035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9</xdr:row>
      <xdr:rowOff>0</xdr:rowOff>
    </xdr:from>
    <xdr:to>
      <xdr:col>13</xdr:col>
      <xdr:colOff>0</xdr:colOff>
      <xdr:row>9</xdr:row>
      <xdr:rowOff>0</xdr:rowOff>
    </xdr:to>
    <xdr:graphicFrame>
      <xdr:nvGraphicFramePr>
        <xdr:cNvPr id="32" name="Chart 37"/>
        <xdr:cNvGraphicFramePr/>
      </xdr:nvGraphicFramePr>
      <xdr:xfrm>
        <a:off x="7658100" y="197167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9</xdr:row>
      <xdr:rowOff>0</xdr:rowOff>
    </xdr:from>
    <xdr:to>
      <xdr:col>13</xdr:col>
      <xdr:colOff>0</xdr:colOff>
      <xdr:row>9</xdr:row>
      <xdr:rowOff>0</xdr:rowOff>
    </xdr:to>
    <xdr:graphicFrame>
      <xdr:nvGraphicFramePr>
        <xdr:cNvPr id="33" name="Chart 38"/>
        <xdr:cNvGraphicFramePr/>
      </xdr:nvGraphicFramePr>
      <xdr:xfrm>
        <a:off x="7658100" y="1971675"/>
        <a:ext cx="0" cy="0"/>
      </xdr:xfrm>
      <a:graphic>
        <a:graphicData uri="http://schemas.openxmlformats.org/drawingml/2006/chart">
          <c:chart xmlns:c="http://schemas.openxmlformats.org/drawingml/2006/chart" r:id="rId8"/>
        </a:graphicData>
      </a:graphic>
    </xdr:graphicFrame>
    <xdr:clientData/>
  </xdr:twoCellAnchor>
  <xdr:oneCellAnchor>
    <xdr:from>
      <xdr:col>1</xdr:col>
      <xdr:colOff>9525</xdr:colOff>
      <xdr:row>40</xdr:row>
      <xdr:rowOff>0</xdr:rowOff>
    </xdr:from>
    <xdr:ext cx="981075" cy="400050"/>
    <xdr:grpSp>
      <xdr:nvGrpSpPr>
        <xdr:cNvPr id="34" name="Group 243">
          <a:hlinkClick r:id="rId9"/>
        </xdr:cNvPr>
        <xdr:cNvGrpSpPr>
          <a:grpSpLocks/>
        </xdr:cNvGrpSpPr>
      </xdr:nvGrpSpPr>
      <xdr:grpSpPr>
        <a:xfrm>
          <a:off x="257175" y="6686550"/>
          <a:ext cx="981075" cy="400050"/>
          <a:chOff x="27" y="703"/>
          <a:chExt cx="103" cy="42"/>
        </a:xfrm>
        <a:solidFill>
          <a:srgbClr val="FFFFFF"/>
        </a:solidFill>
      </xdr:grpSpPr>
      <xdr:sp>
        <xdr:nvSpPr>
          <xdr:cNvPr id="35" name="Rectangle 89"/>
          <xdr:cNvSpPr>
            <a:spLocks/>
          </xdr:cNvSpPr>
        </xdr:nvSpPr>
        <xdr:spPr>
          <a:xfrm>
            <a:off x="27" y="703"/>
            <a:ext cx="10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6" name="TextBox 90"/>
          <xdr:cNvSpPr txBox="1">
            <a:spLocks noChangeArrowheads="1"/>
          </xdr:cNvSpPr>
        </xdr:nvSpPr>
        <xdr:spPr>
          <a:xfrm>
            <a:off x="54" y="717"/>
            <a:ext cx="40" cy="19"/>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fLocksWithSheet="0"/>
  </xdr:oneCellAnchor>
  <xdr:oneCellAnchor>
    <xdr:from>
      <xdr:col>3</xdr:col>
      <xdr:colOff>123825</xdr:colOff>
      <xdr:row>40</xdr:row>
      <xdr:rowOff>0</xdr:rowOff>
    </xdr:from>
    <xdr:ext cx="981075" cy="400050"/>
    <xdr:grpSp>
      <xdr:nvGrpSpPr>
        <xdr:cNvPr id="37" name="Group 244">
          <a:hlinkClick r:id="rId10"/>
        </xdr:cNvPr>
        <xdr:cNvGrpSpPr>
          <a:grpSpLocks/>
        </xdr:cNvGrpSpPr>
      </xdr:nvGrpSpPr>
      <xdr:grpSpPr>
        <a:xfrm>
          <a:off x="1400175" y="6686550"/>
          <a:ext cx="981075" cy="400050"/>
          <a:chOff x="147" y="703"/>
          <a:chExt cx="103" cy="42"/>
        </a:xfrm>
        <a:solidFill>
          <a:srgbClr val="FFFFFF"/>
        </a:solidFill>
      </xdr:grpSpPr>
      <xdr:sp>
        <xdr:nvSpPr>
          <xdr:cNvPr id="38" name="Rectangle 92"/>
          <xdr:cNvSpPr>
            <a:spLocks/>
          </xdr:cNvSpPr>
        </xdr:nvSpPr>
        <xdr:spPr>
          <a:xfrm>
            <a:off x="147" y="703"/>
            <a:ext cx="10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9" name="TextBox 93"/>
          <xdr:cNvSpPr txBox="1">
            <a:spLocks noChangeArrowheads="1"/>
          </xdr:cNvSpPr>
        </xdr:nvSpPr>
        <xdr:spPr>
          <a:xfrm>
            <a:off x="167" y="710"/>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torna a
contesto</a:t>
            </a:r>
          </a:p>
        </xdr:txBody>
      </xdr:sp>
    </xdr:grpSp>
    <xdr:clientData fLocksWithSheet="0"/>
  </xdr:oneCellAnchor>
  <xdr:oneCellAnchor>
    <xdr:from>
      <xdr:col>4</xdr:col>
      <xdr:colOff>361950</xdr:colOff>
      <xdr:row>40</xdr:row>
      <xdr:rowOff>9525</xdr:rowOff>
    </xdr:from>
    <xdr:ext cx="981075" cy="400050"/>
    <xdr:grpSp>
      <xdr:nvGrpSpPr>
        <xdr:cNvPr id="40" name="Group 245">
          <a:hlinkClick r:id="rId11"/>
        </xdr:cNvPr>
        <xdr:cNvGrpSpPr>
          <a:grpSpLocks/>
        </xdr:cNvGrpSpPr>
      </xdr:nvGrpSpPr>
      <xdr:grpSpPr>
        <a:xfrm>
          <a:off x="2571750" y="6696075"/>
          <a:ext cx="981075" cy="400050"/>
          <a:chOff x="270" y="704"/>
          <a:chExt cx="103" cy="42"/>
        </a:xfrm>
        <a:solidFill>
          <a:srgbClr val="FFFFFF"/>
        </a:solidFill>
      </xdr:grpSpPr>
      <xdr:sp>
        <xdr:nvSpPr>
          <xdr:cNvPr id="41" name="Rectangle 95"/>
          <xdr:cNvSpPr>
            <a:spLocks/>
          </xdr:cNvSpPr>
        </xdr:nvSpPr>
        <xdr:spPr>
          <a:xfrm>
            <a:off x="270" y="704"/>
            <a:ext cx="10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2" name="TextBox 96"/>
          <xdr:cNvSpPr txBox="1">
            <a:spLocks noChangeArrowheads="1"/>
          </xdr:cNvSpPr>
        </xdr:nvSpPr>
        <xdr:spPr>
          <a:xfrm>
            <a:off x="293" y="710"/>
            <a:ext cx="53"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scegli il
modello</a:t>
            </a:r>
          </a:p>
        </xdr:txBody>
      </xdr:sp>
    </xdr:grpSp>
    <xdr:clientData fLocksWithSheet="0"/>
  </xdr:oneCellAnchor>
  <xdr:oneCellAnchor>
    <xdr:from>
      <xdr:col>6</xdr:col>
      <xdr:colOff>190500</xdr:colOff>
      <xdr:row>40</xdr:row>
      <xdr:rowOff>9525</xdr:rowOff>
    </xdr:from>
    <xdr:ext cx="981075" cy="400050"/>
    <xdr:grpSp>
      <xdr:nvGrpSpPr>
        <xdr:cNvPr id="43" name="Group 97">
          <a:hlinkClick r:id="rId12"/>
        </xdr:cNvPr>
        <xdr:cNvGrpSpPr>
          <a:grpSpLocks/>
        </xdr:cNvGrpSpPr>
      </xdr:nvGrpSpPr>
      <xdr:grpSpPr>
        <a:xfrm>
          <a:off x="3705225" y="6696075"/>
          <a:ext cx="981075" cy="400050"/>
          <a:chOff x="413" y="560"/>
          <a:chExt cx="103" cy="42"/>
        </a:xfrm>
        <a:solidFill>
          <a:srgbClr val="FFFFFF"/>
        </a:solidFill>
      </xdr:grpSpPr>
      <xdr:sp>
        <xdr:nvSpPr>
          <xdr:cNvPr id="44" name="Rectangle 98"/>
          <xdr:cNvSpPr>
            <a:spLocks/>
          </xdr:cNvSpPr>
        </xdr:nvSpPr>
        <xdr:spPr>
          <a:xfrm>
            <a:off x="413"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5" name="TextBox 99"/>
          <xdr:cNvSpPr txBox="1">
            <a:spLocks noChangeArrowheads="1"/>
          </xdr:cNvSpPr>
        </xdr:nvSpPr>
        <xdr:spPr>
          <a:xfrm>
            <a:off x="425" y="563"/>
            <a:ext cx="66"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bottom-up</a:t>
            </a:r>
          </a:p>
        </xdr:txBody>
      </xdr:sp>
    </xdr:grpSp>
    <xdr:clientData fLocksWithSheet="0"/>
  </xdr:oneCellAnchor>
  <xdr:oneCellAnchor>
    <xdr:from>
      <xdr:col>8</xdr:col>
      <xdr:colOff>133350</xdr:colOff>
      <xdr:row>40</xdr:row>
      <xdr:rowOff>9525</xdr:rowOff>
    </xdr:from>
    <xdr:ext cx="981075" cy="400050"/>
    <xdr:grpSp>
      <xdr:nvGrpSpPr>
        <xdr:cNvPr id="46" name="Group 100">
          <a:hlinkClick r:id="rId13"/>
        </xdr:cNvPr>
        <xdr:cNvGrpSpPr>
          <a:grpSpLocks/>
        </xdr:cNvGrpSpPr>
      </xdr:nvGrpSpPr>
      <xdr:grpSpPr>
        <a:xfrm>
          <a:off x="4819650" y="6696075"/>
          <a:ext cx="981075" cy="400050"/>
          <a:chOff x="530" y="560"/>
          <a:chExt cx="103" cy="42"/>
        </a:xfrm>
        <a:solidFill>
          <a:srgbClr val="FFFFFF"/>
        </a:solidFill>
      </xdr:grpSpPr>
      <xdr:sp>
        <xdr:nvSpPr>
          <xdr:cNvPr id="47" name="Rectangle 101"/>
          <xdr:cNvSpPr>
            <a:spLocks/>
          </xdr:cNvSpPr>
        </xdr:nvSpPr>
        <xdr:spPr>
          <a:xfrm>
            <a:off x="530"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8" name="TextBox 102"/>
          <xdr:cNvSpPr txBox="1">
            <a:spLocks noChangeArrowheads="1"/>
          </xdr:cNvSpPr>
        </xdr:nvSpPr>
        <xdr:spPr>
          <a:xfrm>
            <a:off x="547" y="566"/>
            <a:ext cx="71"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benchmark</a:t>
            </a:r>
          </a:p>
        </xdr:txBody>
      </xdr:sp>
    </xdr:grpSp>
    <xdr:clientData fLocksWithSheet="0"/>
  </xdr:oneCellAnchor>
  <xdr:oneCellAnchor>
    <xdr:from>
      <xdr:col>10</xdr:col>
      <xdr:colOff>104775</xdr:colOff>
      <xdr:row>40</xdr:row>
      <xdr:rowOff>0</xdr:rowOff>
    </xdr:from>
    <xdr:ext cx="981075" cy="400050"/>
    <xdr:grpSp>
      <xdr:nvGrpSpPr>
        <xdr:cNvPr id="49" name="Group 242">
          <a:hlinkClick r:id="rId14"/>
        </xdr:cNvPr>
        <xdr:cNvGrpSpPr>
          <a:grpSpLocks/>
        </xdr:cNvGrpSpPr>
      </xdr:nvGrpSpPr>
      <xdr:grpSpPr>
        <a:xfrm>
          <a:off x="5953125" y="6686550"/>
          <a:ext cx="981075" cy="400050"/>
          <a:chOff x="625" y="703"/>
          <a:chExt cx="103" cy="42"/>
        </a:xfrm>
        <a:solidFill>
          <a:srgbClr val="FFFFFF"/>
        </a:solidFill>
      </xdr:grpSpPr>
      <xdr:sp>
        <xdr:nvSpPr>
          <xdr:cNvPr id="50" name="Rectangle 104"/>
          <xdr:cNvSpPr>
            <a:spLocks/>
          </xdr:cNvSpPr>
        </xdr:nvSpPr>
        <xdr:spPr>
          <a:xfrm>
            <a:off x="625" y="703"/>
            <a:ext cx="103" cy="42"/>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51" name="TextBox 105"/>
          <xdr:cNvSpPr txBox="1">
            <a:spLocks noChangeArrowheads="1"/>
          </xdr:cNvSpPr>
        </xdr:nvSpPr>
        <xdr:spPr>
          <a:xfrm>
            <a:off x="641" y="709"/>
            <a:ext cx="57" cy="34"/>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al
riepilogo</a:t>
            </a:r>
          </a:p>
        </xdr:txBody>
      </xdr:sp>
    </xdr:grpSp>
    <xdr:clientData fLocksWithSheet="0"/>
  </xdr:oneCellAnchor>
  <xdr:oneCellAnchor>
    <xdr:from>
      <xdr:col>0</xdr:col>
      <xdr:colOff>47625</xdr:colOff>
      <xdr:row>8</xdr:row>
      <xdr:rowOff>0</xdr:rowOff>
    </xdr:from>
    <xdr:ext cx="200025" cy="200025"/>
    <xdr:sp>
      <xdr:nvSpPr>
        <xdr:cNvPr id="52" name="Oval 246">
          <a:hlinkClick r:id="rId15"/>
        </xdr:cNvPr>
        <xdr:cNvSpPr>
          <a:spLocks/>
        </xdr:cNvSpPr>
      </xdr:nvSpPr>
      <xdr:spPr>
        <a:xfrm>
          <a:off x="47625" y="18192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12</xdr:row>
      <xdr:rowOff>142875</xdr:rowOff>
    </xdr:from>
    <xdr:ext cx="200025" cy="200025"/>
    <xdr:sp>
      <xdr:nvSpPr>
        <xdr:cNvPr id="53" name="Oval 247">
          <a:hlinkClick r:id="rId16"/>
        </xdr:cNvPr>
        <xdr:cNvSpPr>
          <a:spLocks/>
        </xdr:cNvSpPr>
      </xdr:nvSpPr>
      <xdr:spPr>
        <a:xfrm>
          <a:off x="47625" y="25717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16</xdr:row>
      <xdr:rowOff>142875</xdr:rowOff>
    </xdr:from>
    <xdr:ext cx="200025" cy="200025"/>
    <xdr:sp>
      <xdr:nvSpPr>
        <xdr:cNvPr id="54" name="Oval 248">
          <a:hlinkClick r:id="rId17"/>
        </xdr:cNvPr>
        <xdr:cNvSpPr>
          <a:spLocks/>
        </xdr:cNvSpPr>
      </xdr:nvSpPr>
      <xdr:spPr>
        <a:xfrm>
          <a:off x="47625" y="31813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18</xdr:row>
      <xdr:rowOff>123825</xdr:rowOff>
    </xdr:from>
    <xdr:ext cx="200025" cy="200025"/>
    <xdr:sp>
      <xdr:nvSpPr>
        <xdr:cNvPr id="55" name="Oval 249">
          <a:hlinkClick r:id="rId18"/>
        </xdr:cNvPr>
        <xdr:cNvSpPr>
          <a:spLocks/>
        </xdr:cNvSpPr>
      </xdr:nvSpPr>
      <xdr:spPr>
        <a:xfrm>
          <a:off x="47625" y="346710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47625</xdr:colOff>
      <xdr:row>20</xdr:row>
      <xdr:rowOff>114300</xdr:rowOff>
    </xdr:from>
    <xdr:ext cx="200025" cy="200025"/>
    <xdr:sp>
      <xdr:nvSpPr>
        <xdr:cNvPr id="56" name="Oval 250">
          <a:hlinkClick r:id="rId19"/>
        </xdr:cNvPr>
        <xdr:cNvSpPr>
          <a:spLocks/>
        </xdr:cNvSpPr>
      </xdr:nvSpPr>
      <xdr:spPr>
        <a:xfrm>
          <a:off x="47625" y="37623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38100</xdr:colOff>
      <xdr:row>22</xdr:row>
      <xdr:rowOff>123825</xdr:rowOff>
    </xdr:from>
    <xdr:ext cx="200025" cy="200025"/>
    <xdr:sp>
      <xdr:nvSpPr>
        <xdr:cNvPr id="57" name="Oval 251">
          <a:hlinkClick r:id="rId20"/>
        </xdr:cNvPr>
        <xdr:cNvSpPr>
          <a:spLocks/>
        </xdr:cNvSpPr>
      </xdr:nvSpPr>
      <xdr:spPr>
        <a:xfrm>
          <a:off x="38100" y="407670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57150</xdr:colOff>
      <xdr:row>24</xdr:row>
      <xdr:rowOff>133350</xdr:rowOff>
    </xdr:from>
    <xdr:ext cx="200025" cy="200025"/>
    <xdr:sp>
      <xdr:nvSpPr>
        <xdr:cNvPr id="58" name="Oval 252">
          <a:hlinkClick r:id="rId21"/>
        </xdr:cNvPr>
        <xdr:cNvSpPr>
          <a:spLocks/>
        </xdr:cNvSpPr>
      </xdr:nvSpPr>
      <xdr:spPr>
        <a:xfrm>
          <a:off x="57150" y="43910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57150</xdr:colOff>
      <xdr:row>28</xdr:row>
      <xdr:rowOff>104775</xdr:rowOff>
    </xdr:from>
    <xdr:ext cx="200025" cy="200025"/>
    <xdr:sp>
      <xdr:nvSpPr>
        <xdr:cNvPr id="59" name="Oval 253">
          <a:hlinkClick r:id="rId22"/>
        </xdr:cNvPr>
        <xdr:cNvSpPr>
          <a:spLocks/>
        </xdr:cNvSpPr>
      </xdr:nvSpPr>
      <xdr:spPr>
        <a:xfrm>
          <a:off x="57150" y="49720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57150</xdr:colOff>
      <xdr:row>30</xdr:row>
      <xdr:rowOff>19050</xdr:rowOff>
    </xdr:from>
    <xdr:ext cx="200025" cy="200025"/>
    <xdr:sp>
      <xdr:nvSpPr>
        <xdr:cNvPr id="60" name="Oval 254">
          <a:hlinkClick r:id="rId23"/>
        </xdr:cNvPr>
        <xdr:cNvSpPr>
          <a:spLocks/>
        </xdr:cNvSpPr>
      </xdr:nvSpPr>
      <xdr:spPr>
        <a:xfrm>
          <a:off x="57150" y="51911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57150</xdr:colOff>
      <xdr:row>33</xdr:row>
      <xdr:rowOff>85725</xdr:rowOff>
    </xdr:from>
    <xdr:ext cx="200025" cy="200025"/>
    <xdr:sp>
      <xdr:nvSpPr>
        <xdr:cNvPr id="61" name="Oval 255">
          <a:hlinkClick r:id="rId24"/>
        </xdr:cNvPr>
        <xdr:cNvSpPr>
          <a:spLocks/>
        </xdr:cNvSpPr>
      </xdr:nvSpPr>
      <xdr:spPr>
        <a:xfrm>
          <a:off x="57150" y="571500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oneCellAnchor>
    <xdr:from>
      <xdr:col>0</xdr:col>
      <xdr:colOff>66675</xdr:colOff>
      <xdr:row>35</xdr:row>
      <xdr:rowOff>0</xdr:rowOff>
    </xdr:from>
    <xdr:ext cx="200025" cy="200025"/>
    <xdr:sp>
      <xdr:nvSpPr>
        <xdr:cNvPr id="62" name="Oval 256">
          <a:hlinkClick r:id="rId25"/>
        </xdr:cNvPr>
        <xdr:cNvSpPr>
          <a:spLocks/>
        </xdr:cNvSpPr>
      </xdr:nvSpPr>
      <xdr:spPr>
        <a:xfrm>
          <a:off x="66675" y="59340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xdr:row>
      <xdr:rowOff>0</xdr:rowOff>
    </xdr:from>
    <xdr:to>
      <xdr:col>10</xdr:col>
      <xdr:colOff>9525</xdr:colOff>
      <xdr:row>1</xdr:row>
      <xdr:rowOff>0</xdr:rowOff>
    </xdr:to>
    <xdr:sp macro="[1]!Apri_Sottosezione_1">
      <xdr:nvSpPr>
        <xdr:cNvPr id="1" name="Rectangle 1"/>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
      <xdr:nvSpPr>
        <xdr:cNvPr id="2" name="Rectangle 2"/>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3">
      <xdr:nvSpPr>
        <xdr:cNvPr id="3" name="Rectangle 3"/>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4">
      <xdr:nvSpPr>
        <xdr:cNvPr id="4" name="Rectangle 4"/>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5">
      <xdr:nvSpPr>
        <xdr:cNvPr id="5" name="Rectangle 5"/>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6">
      <xdr:nvSpPr>
        <xdr:cNvPr id="6" name="Rectangle 6"/>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7">
      <xdr:nvSpPr>
        <xdr:cNvPr id="7" name="Rectangle 7"/>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8">
      <xdr:nvSpPr>
        <xdr:cNvPr id="8" name="Rectangle 8"/>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9">
      <xdr:nvSpPr>
        <xdr:cNvPr id="9" name="Rectangle 9"/>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0">
      <xdr:nvSpPr>
        <xdr:cNvPr id="10" name="Rectangle 10"/>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1">
      <xdr:nvSpPr>
        <xdr:cNvPr id="11" name="Rectangle 11"/>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2">
      <xdr:nvSpPr>
        <xdr:cNvPr id="12" name="Rectangle 12"/>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3">
      <xdr:nvSpPr>
        <xdr:cNvPr id="13" name="Rectangle 13"/>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4">
      <xdr:nvSpPr>
        <xdr:cNvPr id="14" name="Rectangle 14"/>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5">
      <xdr:nvSpPr>
        <xdr:cNvPr id="15" name="Rectangle 15"/>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6">
      <xdr:nvSpPr>
        <xdr:cNvPr id="16" name="Rectangle 16"/>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7">
      <xdr:nvSpPr>
        <xdr:cNvPr id="17" name="Rectangle 17"/>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8">
      <xdr:nvSpPr>
        <xdr:cNvPr id="18" name="Rectangle 18"/>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19">
      <xdr:nvSpPr>
        <xdr:cNvPr id="19" name="Rectangle 19"/>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0">
      <xdr:nvSpPr>
        <xdr:cNvPr id="20" name="Rectangle 20"/>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1">
      <xdr:nvSpPr>
        <xdr:cNvPr id="21" name="Rectangle 21"/>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2">
      <xdr:nvSpPr>
        <xdr:cNvPr id="22" name="Rectangle 22"/>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3">
      <xdr:nvSpPr>
        <xdr:cNvPr id="23" name="Rectangle 23"/>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4">
      <xdr:nvSpPr>
        <xdr:cNvPr id="24" name="Rectangle 24"/>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76200</xdr:colOff>
      <xdr:row>1</xdr:row>
      <xdr:rowOff>0</xdr:rowOff>
    </xdr:from>
    <xdr:to>
      <xdr:col>10</xdr:col>
      <xdr:colOff>9525</xdr:colOff>
      <xdr:row>1</xdr:row>
      <xdr:rowOff>0</xdr:rowOff>
    </xdr:to>
    <xdr:sp macro="[1]!Apri_Sottosezione_25">
      <xdr:nvSpPr>
        <xdr:cNvPr id="25" name="Rectangle 25"/>
        <xdr:cNvSpPr>
          <a:spLocks/>
        </xdr:cNvSpPr>
      </xdr:nvSpPr>
      <xdr:spPr>
        <a:xfrm>
          <a:off x="4876800" y="762000"/>
          <a:ext cx="514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95250</xdr:colOff>
      <xdr:row>1</xdr:row>
      <xdr:rowOff>0</xdr:rowOff>
    </xdr:from>
    <xdr:to>
      <xdr:col>13</xdr:col>
      <xdr:colOff>609600</xdr:colOff>
      <xdr:row>1</xdr:row>
      <xdr:rowOff>0</xdr:rowOff>
    </xdr:to>
    <xdr:graphicFrame>
      <xdr:nvGraphicFramePr>
        <xdr:cNvPr id="26" name="Chart 31"/>
        <xdr:cNvGraphicFramePr/>
      </xdr:nvGraphicFramePr>
      <xdr:xfrm>
        <a:off x="6638925" y="762000"/>
        <a:ext cx="1095375" cy="0"/>
      </xdr:xfrm>
      <a:graphic>
        <a:graphicData uri="http://schemas.openxmlformats.org/drawingml/2006/chart">
          <c:chart xmlns:c="http://schemas.openxmlformats.org/drawingml/2006/chart" r:id="rId1"/>
        </a:graphicData>
      </a:graphic>
    </xdr:graphicFrame>
    <xdr:clientData/>
  </xdr:twoCellAnchor>
  <xdr:twoCellAnchor>
    <xdr:from>
      <xdr:col>12</xdr:col>
      <xdr:colOff>95250</xdr:colOff>
      <xdr:row>1</xdr:row>
      <xdr:rowOff>0</xdr:rowOff>
    </xdr:from>
    <xdr:to>
      <xdr:col>13</xdr:col>
      <xdr:colOff>609600</xdr:colOff>
      <xdr:row>1</xdr:row>
      <xdr:rowOff>0</xdr:rowOff>
    </xdr:to>
    <xdr:graphicFrame>
      <xdr:nvGraphicFramePr>
        <xdr:cNvPr id="27" name="Chart 32"/>
        <xdr:cNvGraphicFramePr/>
      </xdr:nvGraphicFramePr>
      <xdr:xfrm>
        <a:off x="6638925" y="762000"/>
        <a:ext cx="1095375" cy="0"/>
      </xdr:xfrm>
      <a:graphic>
        <a:graphicData uri="http://schemas.openxmlformats.org/drawingml/2006/chart">
          <c:chart xmlns:c="http://schemas.openxmlformats.org/drawingml/2006/chart" r:id="rId2"/>
        </a:graphicData>
      </a:graphic>
    </xdr:graphicFrame>
    <xdr:clientData/>
  </xdr:twoCellAnchor>
  <xdr:twoCellAnchor>
    <xdr:from>
      <xdr:col>12</xdr:col>
      <xdr:colOff>95250</xdr:colOff>
      <xdr:row>1</xdr:row>
      <xdr:rowOff>0</xdr:rowOff>
    </xdr:from>
    <xdr:to>
      <xdr:col>13</xdr:col>
      <xdr:colOff>609600</xdr:colOff>
      <xdr:row>1</xdr:row>
      <xdr:rowOff>0</xdr:rowOff>
    </xdr:to>
    <xdr:graphicFrame>
      <xdr:nvGraphicFramePr>
        <xdr:cNvPr id="28" name="Chart 33"/>
        <xdr:cNvGraphicFramePr/>
      </xdr:nvGraphicFramePr>
      <xdr:xfrm>
        <a:off x="6638925" y="762000"/>
        <a:ext cx="1095375" cy="0"/>
      </xdr:xfrm>
      <a:graphic>
        <a:graphicData uri="http://schemas.openxmlformats.org/drawingml/2006/chart">
          <c:chart xmlns:c="http://schemas.openxmlformats.org/drawingml/2006/chart" r:id="rId3"/>
        </a:graphicData>
      </a:graphic>
    </xdr:graphicFrame>
    <xdr:clientData/>
  </xdr:twoCellAnchor>
  <xdr:twoCellAnchor>
    <xdr:from>
      <xdr:col>12</xdr:col>
      <xdr:colOff>95250</xdr:colOff>
      <xdr:row>1</xdr:row>
      <xdr:rowOff>0</xdr:rowOff>
    </xdr:from>
    <xdr:to>
      <xdr:col>13</xdr:col>
      <xdr:colOff>609600</xdr:colOff>
      <xdr:row>1</xdr:row>
      <xdr:rowOff>0</xdr:rowOff>
    </xdr:to>
    <xdr:graphicFrame>
      <xdr:nvGraphicFramePr>
        <xdr:cNvPr id="29" name="Chart 34"/>
        <xdr:cNvGraphicFramePr/>
      </xdr:nvGraphicFramePr>
      <xdr:xfrm>
        <a:off x="6638925" y="762000"/>
        <a:ext cx="1095375" cy="0"/>
      </xdr:xfrm>
      <a:graphic>
        <a:graphicData uri="http://schemas.openxmlformats.org/drawingml/2006/chart">
          <c:chart xmlns:c="http://schemas.openxmlformats.org/drawingml/2006/chart" r:id="rId4"/>
        </a:graphicData>
      </a:graphic>
    </xdr:graphicFrame>
    <xdr:clientData/>
  </xdr:twoCellAnchor>
  <xdr:twoCellAnchor>
    <xdr:from>
      <xdr:col>12</xdr:col>
      <xdr:colOff>95250</xdr:colOff>
      <xdr:row>1</xdr:row>
      <xdr:rowOff>0</xdr:rowOff>
    </xdr:from>
    <xdr:to>
      <xdr:col>13</xdr:col>
      <xdr:colOff>609600</xdr:colOff>
      <xdr:row>1</xdr:row>
      <xdr:rowOff>0</xdr:rowOff>
    </xdr:to>
    <xdr:graphicFrame>
      <xdr:nvGraphicFramePr>
        <xdr:cNvPr id="30" name="Chart 35"/>
        <xdr:cNvGraphicFramePr/>
      </xdr:nvGraphicFramePr>
      <xdr:xfrm>
        <a:off x="6638925" y="762000"/>
        <a:ext cx="1095375"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1</xdr:row>
      <xdr:rowOff>0</xdr:rowOff>
    </xdr:from>
    <xdr:to>
      <xdr:col>11</xdr:col>
      <xdr:colOff>552450</xdr:colOff>
      <xdr:row>1</xdr:row>
      <xdr:rowOff>0</xdr:rowOff>
    </xdr:to>
    <xdr:graphicFrame>
      <xdr:nvGraphicFramePr>
        <xdr:cNvPr id="31" name="Chart 36"/>
        <xdr:cNvGraphicFramePr/>
      </xdr:nvGraphicFramePr>
      <xdr:xfrm>
        <a:off x="2162175" y="762000"/>
        <a:ext cx="4352925" cy="0"/>
      </xdr:xfrm>
      <a:graphic>
        <a:graphicData uri="http://schemas.openxmlformats.org/drawingml/2006/chart">
          <c:chart xmlns:c="http://schemas.openxmlformats.org/drawingml/2006/chart" r:id="rId6"/>
        </a:graphicData>
      </a:graphic>
    </xdr:graphicFrame>
    <xdr:clientData/>
  </xdr:twoCellAnchor>
  <xdr:twoCellAnchor>
    <xdr:from>
      <xdr:col>2</xdr:col>
      <xdr:colOff>104775</xdr:colOff>
      <xdr:row>24</xdr:row>
      <xdr:rowOff>28575</xdr:rowOff>
    </xdr:from>
    <xdr:to>
      <xdr:col>3</xdr:col>
      <xdr:colOff>171450</xdr:colOff>
      <xdr:row>26</xdr:row>
      <xdr:rowOff>133350</xdr:rowOff>
    </xdr:to>
    <xdr:grpSp>
      <xdr:nvGrpSpPr>
        <xdr:cNvPr id="32" name="Group 76">
          <a:hlinkClick r:id="rId7"/>
        </xdr:cNvPr>
        <xdr:cNvGrpSpPr>
          <a:grpSpLocks/>
        </xdr:cNvGrpSpPr>
      </xdr:nvGrpSpPr>
      <xdr:grpSpPr>
        <a:xfrm>
          <a:off x="504825" y="4257675"/>
          <a:ext cx="942975" cy="409575"/>
          <a:chOff x="53" y="428"/>
          <a:chExt cx="99" cy="41"/>
        </a:xfrm>
        <a:solidFill>
          <a:srgbClr val="FFFFFF"/>
        </a:solidFill>
      </xdr:grpSpPr>
      <xdr:sp>
        <xdr:nvSpPr>
          <xdr:cNvPr id="33" name="Rectangle 38"/>
          <xdr:cNvSpPr>
            <a:spLocks/>
          </xdr:cNvSpPr>
        </xdr:nvSpPr>
        <xdr:spPr>
          <a:xfrm>
            <a:off x="53" y="428"/>
            <a:ext cx="99" cy="41"/>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4" name="TextBox 39"/>
          <xdr:cNvSpPr txBox="1">
            <a:spLocks noChangeArrowheads="1"/>
          </xdr:cNvSpPr>
        </xdr:nvSpPr>
        <xdr:spPr>
          <a:xfrm>
            <a:off x="79" y="442"/>
            <a:ext cx="40" cy="18"/>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home</a:t>
            </a:r>
          </a:p>
        </xdr:txBody>
      </xdr:sp>
    </xdr:grpSp>
    <xdr:clientData/>
  </xdr:twoCellAnchor>
  <xdr:twoCellAnchor>
    <xdr:from>
      <xdr:col>3</xdr:col>
      <xdr:colOff>352425</xdr:colOff>
      <xdr:row>24</xdr:row>
      <xdr:rowOff>28575</xdr:rowOff>
    </xdr:from>
    <xdr:to>
      <xdr:col>5</xdr:col>
      <xdr:colOff>361950</xdr:colOff>
      <xdr:row>26</xdr:row>
      <xdr:rowOff>133350</xdr:rowOff>
    </xdr:to>
    <xdr:grpSp>
      <xdr:nvGrpSpPr>
        <xdr:cNvPr id="35" name="Group 77">
          <a:hlinkClick r:id="rId8"/>
        </xdr:cNvPr>
        <xdr:cNvGrpSpPr>
          <a:grpSpLocks/>
        </xdr:cNvGrpSpPr>
      </xdr:nvGrpSpPr>
      <xdr:grpSpPr>
        <a:xfrm>
          <a:off x="1628775" y="4257675"/>
          <a:ext cx="981075" cy="409575"/>
          <a:chOff x="171" y="428"/>
          <a:chExt cx="103" cy="41"/>
        </a:xfrm>
        <a:solidFill>
          <a:srgbClr val="FFFFFF"/>
        </a:solidFill>
      </xdr:grpSpPr>
      <xdr:sp>
        <xdr:nvSpPr>
          <xdr:cNvPr id="36" name="Rectangle 41"/>
          <xdr:cNvSpPr>
            <a:spLocks/>
          </xdr:cNvSpPr>
        </xdr:nvSpPr>
        <xdr:spPr>
          <a:xfrm>
            <a:off x="171" y="428"/>
            <a:ext cx="103" cy="41"/>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37" name="TextBox 42"/>
          <xdr:cNvSpPr txBox="1">
            <a:spLocks noChangeArrowheads="1"/>
          </xdr:cNvSpPr>
        </xdr:nvSpPr>
        <xdr:spPr>
          <a:xfrm>
            <a:off x="191" y="435"/>
            <a:ext cx="57" cy="32"/>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torna a
contesto</a:t>
            </a:r>
          </a:p>
        </xdr:txBody>
      </xdr:sp>
    </xdr:grpSp>
    <xdr:clientData/>
  </xdr:twoCellAnchor>
  <xdr:twoCellAnchor>
    <xdr:from>
      <xdr:col>6</xdr:col>
      <xdr:colOff>95250</xdr:colOff>
      <xdr:row>24</xdr:row>
      <xdr:rowOff>38100</xdr:rowOff>
    </xdr:from>
    <xdr:to>
      <xdr:col>7</xdr:col>
      <xdr:colOff>361950</xdr:colOff>
      <xdr:row>27</xdr:row>
      <xdr:rowOff>0</xdr:rowOff>
    </xdr:to>
    <xdr:grpSp>
      <xdr:nvGrpSpPr>
        <xdr:cNvPr id="38" name="Group 78">
          <a:hlinkClick r:id="rId9"/>
        </xdr:cNvPr>
        <xdr:cNvGrpSpPr>
          <a:grpSpLocks/>
        </xdr:cNvGrpSpPr>
      </xdr:nvGrpSpPr>
      <xdr:grpSpPr>
        <a:xfrm>
          <a:off x="2752725" y="4267200"/>
          <a:ext cx="981075" cy="419100"/>
          <a:chOff x="289" y="429"/>
          <a:chExt cx="103" cy="41"/>
        </a:xfrm>
        <a:solidFill>
          <a:srgbClr val="FFFFFF"/>
        </a:solidFill>
      </xdr:grpSpPr>
      <xdr:sp>
        <xdr:nvSpPr>
          <xdr:cNvPr id="39" name="Rectangle 44"/>
          <xdr:cNvSpPr>
            <a:spLocks/>
          </xdr:cNvSpPr>
        </xdr:nvSpPr>
        <xdr:spPr>
          <a:xfrm>
            <a:off x="289" y="429"/>
            <a:ext cx="103" cy="41"/>
          </a:xfrm>
          <a:prstGeom prst="rect">
            <a:avLst/>
          </a:prstGeom>
          <a:solidFill>
            <a:srgbClr val="FF8080"/>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0" name="TextBox 45"/>
          <xdr:cNvSpPr txBox="1">
            <a:spLocks noChangeArrowheads="1"/>
          </xdr:cNvSpPr>
        </xdr:nvSpPr>
        <xdr:spPr>
          <a:xfrm>
            <a:off x="312" y="435"/>
            <a:ext cx="53" cy="31"/>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scegli il
modello</a:t>
            </a:r>
          </a:p>
        </xdr:txBody>
      </xdr:sp>
    </xdr:grpSp>
    <xdr:clientData/>
  </xdr:twoCellAnchor>
  <xdr:twoCellAnchor>
    <xdr:from>
      <xdr:col>7</xdr:col>
      <xdr:colOff>514350</xdr:colOff>
      <xdr:row>24</xdr:row>
      <xdr:rowOff>28575</xdr:rowOff>
    </xdr:from>
    <xdr:to>
      <xdr:col>9</xdr:col>
      <xdr:colOff>66675</xdr:colOff>
      <xdr:row>26</xdr:row>
      <xdr:rowOff>133350</xdr:rowOff>
    </xdr:to>
    <xdr:grpSp>
      <xdr:nvGrpSpPr>
        <xdr:cNvPr id="41" name="Group 46">
          <a:hlinkClick r:id="rId10"/>
        </xdr:cNvPr>
        <xdr:cNvGrpSpPr>
          <a:grpSpLocks/>
        </xdr:cNvGrpSpPr>
      </xdr:nvGrpSpPr>
      <xdr:grpSpPr>
        <a:xfrm>
          <a:off x="3886200" y="4257675"/>
          <a:ext cx="981075" cy="409575"/>
          <a:chOff x="413" y="560"/>
          <a:chExt cx="103" cy="42"/>
        </a:xfrm>
        <a:solidFill>
          <a:srgbClr val="FFFFFF"/>
        </a:solidFill>
      </xdr:grpSpPr>
      <xdr:sp>
        <xdr:nvSpPr>
          <xdr:cNvPr id="42" name="Rectangle 47"/>
          <xdr:cNvSpPr>
            <a:spLocks/>
          </xdr:cNvSpPr>
        </xdr:nvSpPr>
        <xdr:spPr>
          <a:xfrm>
            <a:off x="413"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3" name="TextBox 48"/>
          <xdr:cNvSpPr txBox="1">
            <a:spLocks noChangeArrowheads="1"/>
          </xdr:cNvSpPr>
        </xdr:nvSpPr>
        <xdr:spPr>
          <a:xfrm>
            <a:off x="425" y="563"/>
            <a:ext cx="66" cy="33"/>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bottom-up</a:t>
            </a:r>
          </a:p>
        </xdr:txBody>
      </xdr:sp>
    </xdr:grpSp>
    <xdr:clientData fLocksWithSheet="0"/>
  </xdr:twoCellAnchor>
  <xdr:twoCellAnchor>
    <xdr:from>
      <xdr:col>11</xdr:col>
      <xdr:colOff>114300</xdr:colOff>
      <xdr:row>24</xdr:row>
      <xdr:rowOff>19050</xdr:rowOff>
    </xdr:from>
    <xdr:to>
      <xdr:col>12</xdr:col>
      <xdr:colOff>514350</xdr:colOff>
      <xdr:row>26</xdr:row>
      <xdr:rowOff>123825</xdr:rowOff>
    </xdr:to>
    <xdr:grpSp>
      <xdr:nvGrpSpPr>
        <xdr:cNvPr id="44" name="Group 49">
          <a:hlinkClick r:id="rId11"/>
        </xdr:cNvPr>
        <xdr:cNvGrpSpPr>
          <a:grpSpLocks/>
        </xdr:cNvGrpSpPr>
      </xdr:nvGrpSpPr>
      <xdr:grpSpPr>
        <a:xfrm>
          <a:off x="6076950" y="4248150"/>
          <a:ext cx="981075" cy="409575"/>
          <a:chOff x="530" y="560"/>
          <a:chExt cx="103" cy="42"/>
        </a:xfrm>
        <a:solidFill>
          <a:srgbClr val="FFFFFF"/>
        </a:solidFill>
      </xdr:grpSpPr>
      <xdr:sp>
        <xdr:nvSpPr>
          <xdr:cNvPr id="45" name="Rectangle 50"/>
          <xdr:cNvSpPr>
            <a:spLocks/>
          </xdr:cNvSpPr>
        </xdr:nvSpPr>
        <xdr:spPr>
          <a:xfrm>
            <a:off x="530" y="560"/>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6" name="TextBox 51"/>
          <xdr:cNvSpPr txBox="1">
            <a:spLocks noChangeArrowheads="1"/>
          </xdr:cNvSpPr>
        </xdr:nvSpPr>
        <xdr:spPr>
          <a:xfrm>
            <a:off x="547" y="566"/>
            <a:ext cx="61" cy="33"/>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top-down</a:t>
            </a:r>
          </a:p>
        </xdr:txBody>
      </xdr:sp>
    </xdr:grpSp>
    <xdr:clientData fLocksWithSheet="0"/>
  </xdr:twoCellAnchor>
  <xdr:twoCellAnchor>
    <xdr:from>
      <xdr:col>9</xdr:col>
      <xdr:colOff>180975</xdr:colOff>
      <xdr:row>24</xdr:row>
      <xdr:rowOff>28575</xdr:rowOff>
    </xdr:from>
    <xdr:to>
      <xdr:col>11</xdr:col>
      <xdr:colOff>0</xdr:colOff>
      <xdr:row>26</xdr:row>
      <xdr:rowOff>133350</xdr:rowOff>
    </xdr:to>
    <xdr:grpSp>
      <xdr:nvGrpSpPr>
        <xdr:cNvPr id="47" name="Group 52">
          <a:hlinkClick r:id="rId12"/>
        </xdr:cNvPr>
        <xdr:cNvGrpSpPr>
          <a:grpSpLocks/>
        </xdr:cNvGrpSpPr>
      </xdr:nvGrpSpPr>
      <xdr:grpSpPr>
        <a:xfrm>
          <a:off x="4981575" y="4257675"/>
          <a:ext cx="981075" cy="409575"/>
          <a:chOff x="649" y="559"/>
          <a:chExt cx="103" cy="42"/>
        </a:xfrm>
        <a:solidFill>
          <a:srgbClr val="FFFFFF"/>
        </a:solidFill>
      </xdr:grpSpPr>
      <xdr:sp>
        <xdr:nvSpPr>
          <xdr:cNvPr id="48" name="Rectangle 53"/>
          <xdr:cNvSpPr>
            <a:spLocks/>
          </xdr:cNvSpPr>
        </xdr:nvSpPr>
        <xdr:spPr>
          <a:xfrm>
            <a:off x="649" y="559"/>
            <a:ext cx="103" cy="42"/>
          </a:xfrm>
          <a:prstGeom prst="rect">
            <a:avLst/>
          </a:prstGeom>
          <a:solidFill>
            <a:srgbClr val="F5E2BE"/>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9" name="TextBox 54"/>
          <xdr:cNvSpPr txBox="1">
            <a:spLocks noChangeArrowheads="1"/>
          </xdr:cNvSpPr>
        </xdr:nvSpPr>
        <xdr:spPr>
          <a:xfrm>
            <a:off x="665" y="565"/>
            <a:ext cx="71" cy="33"/>
          </a:xfrm>
          <a:prstGeom prst="rect">
            <a:avLst/>
          </a:prstGeom>
          <a:noFill/>
          <a:ln w="9525" cmpd="sng">
            <a:noFill/>
          </a:ln>
        </xdr:spPr>
        <xdr:txBody>
          <a:bodyPr vertOverflow="clip" wrap="square">
            <a:spAutoFit/>
          </a:bodyPr>
          <a:p>
            <a:pPr algn="ctr">
              <a:defRPr/>
            </a:pPr>
            <a:r>
              <a:rPr lang="en-US" cap="none" sz="800" b="1" i="0" u="none" baseline="0">
                <a:solidFill>
                  <a:srgbClr val="800000"/>
                </a:solidFill>
              </a:rPr>
              <a:t>vai a
benchmark</a:t>
            </a:r>
          </a:p>
        </xdr:txBody>
      </xdr:sp>
    </xdr:grpSp>
    <xdr:clientData fLocksWithSheet="0"/>
  </xdr:twoCellAnchor>
  <xdr:oneCellAnchor>
    <xdr:from>
      <xdr:col>12</xdr:col>
      <xdr:colOff>371475</xdr:colOff>
      <xdr:row>15</xdr:row>
      <xdr:rowOff>114300</xdr:rowOff>
    </xdr:from>
    <xdr:ext cx="200025" cy="200025"/>
    <xdr:sp>
      <xdr:nvSpPr>
        <xdr:cNvPr id="50" name="Oval 79">
          <a:hlinkClick r:id="rId13"/>
        </xdr:cNvPr>
        <xdr:cNvSpPr>
          <a:spLocks/>
        </xdr:cNvSpPr>
      </xdr:nvSpPr>
      <xdr:spPr>
        <a:xfrm>
          <a:off x="6915150" y="29813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xdr:row>
      <xdr:rowOff>0</xdr:rowOff>
    </xdr:from>
    <xdr:to>
      <xdr:col>8</xdr:col>
      <xdr:colOff>9525</xdr:colOff>
      <xdr:row>1</xdr:row>
      <xdr:rowOff>0</xdr:rowOff>
    </xdr:to>
    <xdr:sp macro="[0]!Apri_Sottosezione_1">
      <xdr:nvSpPr>
        <xdr:cNvPr id="1" name="Rectangle 1"/>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
      <xdr:nvSpPr>
        <xdr:cNvPr id="2" name="Rectangle 2"/>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3">
      <xdr:nvSpPr>
        <xdr:cNvPr id="3" name="Rectangle 3"/>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4">
      <xdr:nvSpPr>
        <xdr:cNvPr id="4" name="Rectangle 4"/>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5">
      <xdr:nvSpPr>
        <xdr:cNvPr id="5" name="Rectangle 5"/>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6">
      <xdr:nvSpPr>
        <xdr:cNvPr id="6" name="Rectangle 6"/>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7">
      <xdr:nvSpPr>
        <xdr:cNvPr id="7" name="Rectangle 7"/>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8">
      <xdr:nvSpPr>
        <xdr:cNvPr id="8" name="Rectangle 8"/>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9">
      <xdr:nvSpPr>
        <xdr:cNvPr id="9" name="Rectangle 9"/>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0">
      <xdr:nvSpPr>
        <xdr:cNvPr id="10" name="Rectangle 10"/>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1">
      <xdr:nvSpPr>
        <xdr:cNvPr id="11" name="Rectangle 11"/>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2">
      <xdr:nvSpPr>
        <xdr:cNvPr id="12" name="Rectangle 12"/>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3">
      <xdr:nvSpPr>
        <xdr:cNvPr id="13" name="Rectangle 13"/>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4">
      <xdr:nvSpPr>
        <xdr:cNvPr id="14" name="Rectangle 14"/>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5">
      <xdr:nvSpPr>
        <xdr:cNvPr id="15" name="Rectangle 15"/>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6">
      <xdr:nvSpPr>
        <xdr:cNvPr id="16" name="Rectangle 16"/>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7">
      <xdr:nvSpPr>
        <xdr:cNvPr id="17" name="Rectangle 17"/>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8">
      <xdr:nvSpPr>
        <xdr:cNvPr id="18" name="Rectangle 18"/>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19">
      <xdr:nvSpPr>
        <xdr:cNvPr id="19" name="Rectangle 19"/>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0">
      <xdr:nvSpPr>
        <xdr:cNvPr id="20" name="Rectangle 20"/>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1">
      <xdr:nvSpPr>
        <xdr:cNvPr id="21" name="Rectangle 21"/>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2">
      <xdr:nvSpPr>
        <xdr:cNvPr id="22" name="Rectangle 22"/>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3">
      <xdr:nvSpPr>
        <xdr:cNvPr id="23" name="Rectangle 23"/>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4">
      <xdr:nvSpPr>
        <xdr:cNvPr id="24" name="Rectangle 24"/>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xdr:row>
      <xdr:rowOff>0</xdr:rowOff>
    </xdr:from>
    <xdr:to>
      <xdr:col>8</xdr:col>
      <xdr:colOff>9525</xdr:colOff>
      <xdr:row>1</xdr:row>
      <xdr:rowOff>0</xdr:rowOff>
    </xdr:to>
    <xdr:sp macro="[0]!Apri_Sottosezione_25">
      <xdr:nvSpPr>
        <xdr:cNvPr id="25" name="Rectangle 25"/>
        <xdr:cNvSpPr>
          <a:spLocks/>
        </xdr:cNvSpPr>
      </xdr:nvSpPr>
      <xdr:spPr>
        <a:xfrm>
          <a:off x="3676650" y="714375"/>
          <a:ext cx="44767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1</xdr:row>
      <xdr:rowOff>0</xdr:rowOff>
    </xdr:from>
    <xdr:to>
      <xdr:col>11</xdr:col>
      <xdr:colOff>514350</xdr:colOff>
      <xdr:row>1</xdr:row>
      <xdr:rowOff>0</xdr:rowOff>
    </xdr:to>
    <xdr:graphicFrame>
      <xdr:nvGraphicFramePr>
        <xdr:cNvPr id="26" name="Chart 31"/>
        <xdr:cNvGraphicFramePr/>
      </xdr:nvGraphicFramePr>
      <xdr:xfrm>
        <a:off x="5238750" y="714375"/>
        <a:ext cx="933450" cy="0"/>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1</xdr:row>
      <xdr:rowOff>0</xdr:rowOff>
    </xdr:from>
    <xdr:to>
      <xdr:col>11</xdr:col>
      <xdr:colOff>514350</xdr:colOff>
      <xdr:row>1</xdr:row>
      <xdr:rowOff>0</xdr:rowOff>
    </xdr:to>
    <xdr:graphicFrame>
      <xdr:nvGraphicFramePr>
        <xdr:cNvPr id="27" name="Chart 32"/>
        <xdr:cNvGraphicFramePr/>
      </xdr:nvGraphicFramePr>
      <xdr:xfrm>
        <a:off x="5238750" y="714375"/>
        <a:ext cx="933450" cy="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1</xdr:row>
      <xdr:rowOff>0</xdr:rowOff>
    </xdr:from>
    <xdr:to>
      <xdr:col>11</xdr:col>
      <xdr:colOff>514350</xdr:colOff>
      <xdr:row>1</xdr:row>
      <xdr:rowOff>0</xdr:rowOff>
    </xdr:to>
    <xdr:graphicFrame>
      <xdr:nvGraphicFramePr>
        <xdr:cNvPr id="28" name="Chart 33"/>
        <xdr:cNvGraphicFramePr/>
      </xdr:nvGraphicFramePr>
      <xdr:xfrm>
        <a:off x="5238750" y="714375"/>
        <a:ext cx="933450" cy="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1</xdr:row>
      <xdr:rowOff>0</xdr:rowOff>
    </xdr:from>
    <xdr:to>
      <xdr:col>11</xdr:col>
      <xdr:colOff>514350</xdr:colOff>
      <xdr:row>1</xdr:row>
      <xdr:rowOff>0</xdr:rowOff>
    </xdr:to>
    <xdr:graphicFrame>
      <xdr:nvGraphicFramePr>
        <xdr:cNvPr id="29" name="Chart 34"/>
        <xdr:cNvGraphicFramePr/>
      </xdr:nvGraphicFramePr>
      <xdr:xfrm>
        <a:off x="5238750" y="714375"/>
        <a:ext cx="933450" cy="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1</xdr:row>
      <xdr:rowOff>0</xdr:rowOff>
    </xdr:from>
    <xdr:to>
      <xdr:col>11</xdr:col>
      <xdr:colOff>514350</xdr:colOff>
      <xdr:row>1</xdr:row>
      <xdr:rowOff>0</xdr:rowOff>
    </xdr:to>
    <xdr:graphicFrame>
      <xdr:nvGraphicFramePr>
        <xdr:cNvPr id="30" name="Chart 35"/>
        <xdr:cNvGraphicFramePr/>
      </xdr:nvGraphicFramePr>
      <xdr:xfrm>
        <a:off x="5238750" y="714375"/>
        <a:ext cx="933450"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1</xdr:row>
      <xdr:rowOff>0</xdr:rowOff>
    </xdr:from>
    <xdr:to>
      <xdr:col>9</xdr:col>
      <xdr:colOff>514350</xdr:colOff>
      <xdr:row>1</xdr:row>
      <xdr:rowOff>0</xdr:rowOff>
    </xdr:to>
    <xdr:graphicFrame>
      <xdr:nvGraphicFramePr>
        <xdr:cNvPr id="31" name="Chart 36"/>
        <xdr:cNvGraphicFramePr/>
      </xdr:nvGraphicFramePr>
      <xdr:xfrm>
        <a:off x="2228850" y="714375"/>
        <a:ext cx="2914650" cy="0"/>
      </xdr:xfrm>
      <a:graphic>
        <a:graphicData uri="http://schemas.openxmlformats.org/drawingml/2006/chart">
          <c:chart xmlns:c="http://schemas.openxmlformats.org/drawingml/2006/chart" r:id="rId6"/>
        </a:graphicData>
      </a:graphic>
    </xdr:graphicFrame>
    <xdr:clientData/>
  </xdr:twoCellAnchor>
  <xdr:twoCellAnchor>
    <xdr:from>
      <xdr:col>0</xdr:col>
      <xdr:colOff>485775</xdr:colOff>
      <xdr:row>50</xdr:row>
      <xdr:rowOff>28575</xdr:rowOff>
    </xdr:from>
    <xdr:to>
      <xdr:col>13</xdr:col>
      <xdr:colOff>400050</xdr:colOff>
      <xdr:row>67</xdr:row>
      <xdr:rowOff>38100</xdr:rowOff>
    </xdr:to>
    <xdr:sp>
      <xdr:nvSpPr>
        <xdr:cNvPr id="32" name="Rectangle 38"/>
        <xdr:cNvSpPr>
          <a:spLocks/>
        </xdr:cNvSpPr>
      </xdr:nvSpPr>
      <xdr:spPr>
        <a:xfrm>
          <a:off x="485775" y="7762875"/>
          <a:ext cx="6600825" cy="260032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Home
</a:t>
          </a:r>
          <a:r>
            <a:rPr lang="en-US" cap="none" sz="900" b="1" i="1" u="none" baseline="0">
              <a:solidFill>
                <a:srgbClr val="960E11"/>
              </a:solidFill>
            </a:rPr>
            <a:t>i.</a:t>
          </a:r>
          <a:r>
            <a:rPr lang="en-US" cap="none" sz="900" b="1" i="0" u="none" baseline="0">
              <a:solidFill>
                <a:srgbClr val="960E11"/>
              </a:solidFill>
            </a:rPr>
            <a:t> Informazioni generali aggiuntive su questo tool</a:t>
          </a:r>
          <a:r>
            <a:rPr lang="en-US" cap="none" sz="900" b="0" i="0" u="none" baseline="0"/>
            <a:t>
In aggiunta a quanto detto in questa videata, è utile precisare che i tre modelli proposti supportano la stima della dimensione dei mercati in termini di </a:t>
          </a:r>
          <a:r>
            <a:rPr lang="en-US" cap="none" sz="900" b="1" i="0" u="none" baseline="0"/>
            <a:t>quantità</a:t>
          </a:r>
          <a:r>
            <a:rPr lang="en-US" cap="none" sz="900" b="0" i="0" u="none" baseline="0"/>
            <a:t>, e non di valore (che potrà essere agevolmente calcolato sulla base di un’ipotesi di prezzo medio per unità di prodotto).
Qualora si disponesse, in partenza, di stime attendibili in termini di valore, per stimare le quantità occorrerà riferirsi al valore medio di un’unità di prodotto o di un insieme standard di unità di prodotto: è infatti preferibile ragionare in termini di quantità, anche al fine di evitare distorsioni aggiuntive (rispetto a quelle già inevitabili) dovute ad aspetti valutari.
Inoltre, le quantità si riferiranno normalmente agli </a:t>
          </a:r>
          <a:r>
            <a:rPr lang="en-US" cap="none" sz="900" b="1" i="0" u="none" baseline="0"/>
            <a:t>acquisti</a:t>
          </a:r>
          <a:r>
            <a:rPr lang="en-US" cap="none" sz="900" b="0" i="0" u="none" baseline="0"/>
            <a:t>, fatte salve ipotesi diverse formulate dall’utilizzatore di questo strumento, che potrebbe scegliere, qualora operasse in un settore di beni durevoli, di riferirsi al cosiddetto “parco installato” (v. ulteriori commenti in merito a questi aspetti nelle linee guida relative ai singoli modelli).</a:t>
          </a:r>
          <a:r>
            <a:rPr lang="en-US" cap="none" sz="900" b="0" i="0" u="none" baseline="0">
              <a:latin typeface="Tahoma"/>
              <a:ea typeface="Tahoma"/>
              <a:cs typeface="Tahoma"/>
            </a:rPr>
            <a:t>
</a:t>
          </a:r>
        </a:p>
      </xdr:txBody>
    </xdr:sp>
    <xdr:clientData/>
  </xdr:twoCellAnchor>
  <xdr:twoCellAnchor>
    <xdr:from>
      <xdr:col>0</xdr:col>
      <xdr:colOff>485775</xdr:colOff>
      <xdr:row>100</xdr:row>
      <xdr:rowOff>28575</xdr:rowOff>
    </xdr:from>
    <xdr:to>
      <xdr:col>13</xdr:col>
      <xdr:colOff>400050</xdr:colOff>
      <xdr:row>116</xdr:row>
      <xdr:rowOff>47625</xdr:rowOff>
    </xdr:to>
    <xdr:sp>
      <xdr:nvSpPr>
        <xdr:cNvPr id="33" name="Rectangle 41"/>
        <xdr:cNvSpPr>
          <a:spLocks/>
        </xdr:cNvSpPr>
      </xdr:nvSpPr>
      <xdr:spPr>
        <a:xfrm>
          <a:off x="485775" y="15182850"/>
          <a:ext cx="6600825" cy="24574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Contesto
1. Prodotto di interesse, unità di misura, target di consumatori e anno di riferimento
</a:t>
          </a:r>
          <a:r>
            <a:rPr lang="en-US" cap="none" sz="900" b="0" i="0" u="none" baseline="0"/>
            <a:t>L’esplicitazione di tali indicazioni non avrà alcun impatto sul funzionamento dei modelli, né sui loro output, ma servirà unicamente come </a:t>
          </a:r>
          <a:r>
            <a:rPr lang="en-US" cap="none" sz="900" b="1" i="0" u="none" baseline="0"/>
            <a:t>promemoria</a:t>
          </a:r>
          <a:r>
            <a:rPr lang="en-US" cap="none" sz="900" b="0" i="0" u="none" baseline="0"/>
            <a:t> del contesto di riferimento, in vista di eventuali future verifiche e revisioni.
Anche se uno dei modelli proposti prevede di stimare il numero di intermediari, è bene definire il </a:t>
          </a:r>
          <a:r>
            <a:rPr lang="en-US" cap="none" sz="900" b="1" i="0" u="none" baseline="0"/>
            <a:t>target al livello dei consumatori o utilizzatori finali </a:t>
          </a:r>
          <a:r>
            <a:rPr lang="en-US" cap="none" sz="900" b="0" i="0" u="none" baseline="0"/>
            <a:t>(v. “</a:t>
          </a:r>
          <a:r>
            <a:rPr lang="en-US" cap="none" sz="900" b="1" i="1" u="none" baseline="0">
              <a:solidFill>
                <a:srgbClr val="960E11"/>
              </a:solidFill>
            </a:rPr>
            <a:t>clientela finale</a:t>
          </a:r>
          <a:r>
            <a:rPr lang="en-US" cap="none" sz="900" b="0" i="0" u="none" baseline="0"/>
            <a:t>” ).
Come già anticipato, la dimensione dei mercati verrà comunque espressa in </a:t>
          </a:r>
          <a:r>
            <a:rPr lang="en-US" cap="none" sz="900" b="1" i="0" u="none" baseline="0"/>
            <a:t>quantità </a:t>
          </a:r>
          <a:r>
            <a:rPr lang="en-US" cap="none" sz="900" b="0" i="0" u="none" baseline="0"/>
            <a:t>(n. di pezzi o confezioni, metri, chilogrammi, tonnellate, litri, ecc.): nel caso fossero disponibili dati di input attendibili espressi in termini di valore (ad esempio, acquisti medi per operatore), dovranno quindi essere convertiti in quantità facendo riferimento al valore medio di un’unità di prodotto o a un insieme definito di unità di prodotto.
</a:t>
          </a:r>
          <a:r>
            <a:rPr lang="en-US" cap="none" sz="900" b="1" i="0" u="none" baseline="0">
              <a:solidFill>
                <a:srgbClr val="960E11"/>
              </a:solidFill>
            </a:rPr>
            <a:t>
</a:t>
          </a:r>
          <a:r>
            <a:rPr lang="en-US" cap="none" sz="900" b="0" i="0" u="none" baseline="0">
              <a:latin typeface="Tahoma"/>
              <a:ea typeface="Tahoma"/>
              <a:cs typeface="Tahoma"/>
            </a:rPr>
            <a:t>
</a:t>
          </a:r>
        </a:p>
      </xdr:txBody>
    </xdr:sp>
    <xdr:clientData/>
  </xdr:twoCellAnchor>
  <xdr:twoCellAnchor>
    <xdr:from>
      <xdr:col>0</xdr:col>
      <xdr:colOff>485775</xdr:colOff>
      <xdr:row>150</xdr:row>
      <xdr:rowOff>28575</xdr:rowOff>
    </xdr:from>
    <xdr:to>
      <xdr:col>13</xdr:col>
      <xdr:colOff>400050</xdr:colOff>
      <xdr:row>164</xdr:row>
      <xdr:rowOff>9525</xdr:rowOff>
    </xdr:to>
    <xdr:sp>
      <xdr:nvSpPr>
        <xdr:cNvPr id="34" name="Rectangle 43"/>
        <xdr:cNvSpPr>
          <a:spLocks/>
        </xdr:cNvSpPr>
      </xdr:nvSpPr>
      <xdr:spPr>
        <a:xfrm>
          <a:off x="485775" y="22517100"/>
          <a:ext cx="6600825" cy="21145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Contesto
2. Scelta del mercato estero
</a:t>
          </a:r>
          <a:r>
            <a:rPr lang="en-US" cap="none" sz="900" b="0" i="0" u="none" baseline="0"/>
            <a:t>È possibile scegliere fra </a:t>
          </a:r>
          <a:r>
            <a:rPr lang="en-US" cap="none" sz="900" b="1" i="0" u="none" baseline="0"/>
            <a:t>80 paesi</a:t>
          </a:r>
          <a:r>
            <a:rPr lang="en-US" cap="none" sz="900" b="0" i="0" u="none" baseline="0"/>
            <a:t>. In questo elenco sono inclusi quelli con più di 120 milioni di abitanti e, fra gli altri, quelli che possiedono almeno due delle seguenti caratteristiche (anno 2004): più di 5 milioni di abitanti, più di 20 miliardi di dollari di PIL, più di 5.000 dollari di PIL/ppp pro-capite e distanti dall’Italia non più di 4.000 chilometri. Sono comunque esclusi quelli con meno di 500.000 abitanti e/o con meno di 1.000 dollari di PIL/ppp pro-capite.
Gli indicatori “essenziali” qui riportati non sono del tutto correlati, in quanto il PIL pro-capite è calcolato con il criterio della “parità del potere d’acquisto”: il PIL totale non è quindi il prodotto del PIL pro-capite per la popolazione.
</a:t>
          </a:r>
          <a:r>
            <a:rPr lang="en-US" cap="none" sz="900" b="1" i="0" u="none" baseline="0">
              <a:solidFill>
                <a:srgbClr val="960E11"/>
              </a:solidFill>
            </a:rPr>
            <a:t>
</a:t>
          </a:r>
          <a:r>
            <a:rPr lang="en-US" cap="none" sz="900" b="0" i="0" u="none" baseline="0">
              <a:latin typeface="Tahoma"/>
              <a:ea typeface="Tahoma"/>
              <a:cs typeface="Tahoma"/>
            </a:rPr>
            <a:t>
</a:t>
          </a:r>
        </a:p>
      </xdr:txBody>
    </xdr:sp>
    <xdr:clientData/>
  </xdr:twoCellAnchor>
  <xdr:twoCellAnchor>
    <xdr:from>
      <xdr:col>0</xdr:col>
      <xdr:colOff>485775</xdr:colOff>
      <xdr:row>200</xdr:row>
      <xdr:rowOff>28575</xdr:rowOff>
    </xdr:from>
    <xdr:to>
      <xdr:col>13</xdr:col>
      <xdr:colOff>400050</xdr:colOff>
      <xdr:row>212</xdr:row>
      <xdr:rowOff>85725</xdr:rowOff>
    </xdr:to>
    <xdr:sp>
      <xdr:nvSpPr>
        <xdr:cNvPr id="35" name="Rectangle 44"/>
        <xdr:cNvSpPr>
          <a:spLocks/>
        </xdr:cNvSpPr>
      </xdr:nvSpPr>
      <xdr:spPr>
        <a:xfrm>
          <a:off x="485775" y="29860875"/>
          <a:ext cx="6600825" cy="18859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Contesto
3. Porzione di interesse nell'ambito del mercato
</a:t>
          </a:r>
          <a:r>
            <a:rPr lang="en-US" cap="none" sz="900" b="0" i="0" u="none" baseline="0"/>
            <a:t>Questa stima è particolarmente importante per la valutazione dei potenziali di mercato, soprattutto in contesto internazionale, dato che ben difficilmente l’azienda potrà entrare in contatto, più o meno direttamente, con la totalità del mercato definita dai confini geografici del paese.
Per facilitare la stima possono essere utili fonti informative specifiche sui singoli paesi e/o le singole città o regioni: ad esempio, le schede paese dell’ICE, qualsiasi fonte appropriata selezionabile con parole chiave dagli output dei maggiori motori di ricerca, ecc. (v., in particolare, la sitografia alla fine del tutorial).
</a:t>
          </a:r>
          <a:r>
            <a:rPr lang="en-US" cap="none" sz="900" b="1" i="0" u="none" baseline="0">
              <a:solidFill>
                <a:srgbClr val="960E11"/>
              </a:solidFill>
            </a:rPr>
            <a:t>
</a:t>
          </a:r>
          <a:r>
            <a:rPr lang="en-US" cap="none" sz="900" b="0" i="0" u="none" baseline="0">
              <a:latin typeface="Tahoma"/>
              <a:ea typeface="Tahoma"/>
              <a:cs typeface="Tahoma"/>
            </a:rPr>
            <a:t>
</a:t>
          </a:r>
        </a:p>
      </xdr:txBody>
    </xdr:sp>
    <xdr:clientData/>
  </xdr:twoCellAnchor>
  <xdr:twoCellAnchor>
    <xdr:from>
      <xdr:col>0</xdr:col>
      <xdr:colOff>485775</xdr:colOff>
      <xdr:row>250</xdr:row>
      <xdr:rowOff>28575</xdr:rowOff>
    </xdr:from>
    <xdr:to>
      <xdr:col>13</xdr:col>
      <xdr:colOff>400050</xdr:colOff>
      <xdr:row>261</xdr:row>
      <xdr:rowOff>66675</xdr:rowOff>
    </xdr:to>
    <xdr:sp>
      <xdr:nvSpPr>
        <xdr:cNvPr id="36" name="Rectangle 45"/>
        <xdr:cNvSpPr>
          <a:spLocks/>
        </xdr:cNvSpPr>
      </xdr:nvSpPr>
      <xdr:spPr>
        <a:xfrm>
          <a:off x="485775" y="37204650"/>
          <a:ext cx="6600825" cy="171450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Scelta del modello
</a:t>
          </a:r>
          <a:r>
            <a:rPr lang="en-US" cap="none" sz="900" b="1" i="1" u="none" baseline="0">
              <a:solidFill>
                <a:srgbClr val="960E11"/>
              </a:solidFill>
            </a:rPr>
            <a:t>i.</a:t>
          </a:r>
          <a:r>
            <a:rPr lang="en-US" cap="none" sz="900" b="1" i="0" u="none" baseline="0">
              <a:solidFill>
                <a:srgbClr val="960E11"/>
              </a:solidFill>
            </a:rPr>
            <a:t> Applicabilità delle indicazioni sulla scelta del modello</a:t>
          </a:r>
          <a:r>
            <a:rPr lang="en-US" cap="none" sz="900" b="0" i="0" u="none" baseline="0"/>
            <a:t>
Le principali caratteristiche dei tre modelli sono descritte sia nel tutorial che nelle rispettive sezioni di questo strumento.
Le</a:t>
          </a:r>
          <a:r>
            <a:rPr lang="en-US" cap="none" sz="900" b="1" i="0" u="none" baseline="0"/>
            <a:t> indicazioni</a:t>
          </a:r>
          <a:r>
            <a:rPr lang="en-US" cap="none" sz="900" b="0" i="0" u="none" baseline="0"/>
            <a:t> date qui riguardo all’applicabilità dei tre modelli in funzione del tipo di settore e delle informazioni disponibili o reperibili sono soltanto </a:t>
          </a:r>
          <a:r>
            <a:rPr lang="en-US" cap="none" sz="900" b="1" i="0" u="none" baseline="0"/>
            <a:t>di massima</a:t>
          </a:r>
          <a:r>
            <a:rPr lang="en-US" cap="none" sz="900" b="0" i="0" u="none" baseline="0"/>
            <a:t>. Nulla impedisce che i tre modelli vengano comunque utilizzati, anche in assenza dei requisiti qui indicati: è tuttavia importante essere coscienti delle limitazioni di ogni modello al fine di interpretarne correttamente gli output.</a:t>
          </a:r>
          <a:r>
            <a:rPr lang="en-US" cap="none" sz="900" b="0" i="0" u="none" baseline="0">
              <a:latin typeface="Tahoma"/>
              <a:ea typeface="Tahoma"/>
              <a:cs typeface="Tahoma"/>
            </a:rPr>
            <a:t>
</a:t>
          </a:r>
        </a:p>
      </xdr:txBody>
    </xdr:sp>
    <xdr:clientData/>
  </xdr:twoCellAnchor>
  <xdr:twoCellAnchor>
    <xdr:from>
      <xdr:col>0</xdr:col>
      <xdr:colOff>485775</xdr:colOff>
      <xdr:row>300</xdr:row>
      <xdr:rowOff>28575</xdr:rowOff>
    </xdr:from>
    <xdr:to>
      <xdr:col>13</xdr:col>
      <xdr:colOff>400050</xdr:colOff>
      <xdr:row>318</xdr:row>
      <xdr:rowOff>47625</xdr:rowOff>
    </xdr:to>
    <xdr:sp>
      <xdr:nvSpPr>
        <xdr:cNvPr id="37" name="Rectangle 46"/>
        <xdr:cNvSpPr>
          <a:spLocks/>
        </xdr:cNvSpPr>
      </xdr:nvSpPr>
      <xdr:spPr>
        <a:xfrm>
          <a:off x="485775" y="44538900"/>
          <a:ext cx="6600825" cy="27622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a:t>
          </a:r>
          <a:r>
            <a:rPr lang="en-US" cap="none" sz="900" b="1" i="1" u="none" baseline="0">
              <a:solidFill>
                <a:srgbClr val="960E11"/>
              </a:solidFill>
            </a:rPr>
            <a:t>i.</a:t>
          </a:r>
          <a:r>
            <a:rPr lang="en-US" cap="none" sz="900" b="1" i="0" u="none" baseline="0">
              <a:solidFill>
                <a:srgbClr val="960E11"/>
              </a:solidFill>
            </a:rPr>
            <a:t> Applicabilità del modello</a:t>
          </a:r>
          <a:r>
            <a:rPr lang="en-US" cap="none" sz="900" b="0" i="0" u="none" baseline="0"/>
            <a:t>
Il modello è preferibilmente utilizzabile nei casi qui indicati, ma </a:t>
          </a:r>
          <a:r>
            <a:rPr lang="en-US" cap="none" sz="900" b="1" i="0" u="none" baseline="0"/>
            <a:t>nulla impedisce che le diverse tipologie di operatori elencate nelle intestazioni delle colonne vengano sostituite</a:t>
          </a:r>
          <a:r>
            <a:rPr lang="en-US" cap="none" sz="900" b="0" i="0" u="none" baseline="0"/>
            <a:t> (almeno “mentalmente”, dato che non è prevista la modifica del layout e delle intestazioni del modello) da altre tipologie (ad esempio, dealer di prodotti industriali, installatori, influenzatori, ecc., o addirittura clienti finali in settori B2B): </a:t>
          </a:r>
          <a:r>
            <a:rPr lang="en-US" cap="none" sz="900" b="1" i="0" u="none" baseline="0"/>
            <a:t>in questo caso, i dati già inseriti nella parte A</a:t>
          </a:r>
          <a:r>
            <a:rPr lang="en-US" cap="none" sz="900" b="0" i="0" u="none" baseline="0"/>
            <a:t> (riferiti alle tipologie di “default” e alla situazione italiana) </a:t>
          </a:r>
          <a:r>
            <a:rPr lang="en-US" cap="none" sz="900" b="1" i="0" u="none" baseline="0"/>
            <a:t>non saranno evidentemente utilizzabili</a:t>
          </a:r>
          <a:r>
            <a:rPr lang="en-US" cap="none" sz="900" b="0" i="0" u="none" baseline="0"/>
            <a:t> (v. punto seguente) e basterà passare direttamente alle parti B e C.
Il modello è ovviamente utilizzabile anche qualora l’azienda preveda di </a:t>
          </a:r>
          <a:r>
            <a:rPr lang="en-US" cap="none" sz="900" b="1" i="0" u="none" baseline="0"/>
            <a:t>operare attraverso uno o più importatori</a:t>
          </a:r>
          <a:r>
            <a:rPr lang="en-US" cap="none" sz="900" b="0" i="0" u="none" baseline="0"/>
            <a:t>: in questo caso, le stime riguarderanno la clientela degli importatori e dovranno inevitabilmente essere formulate con la collaborazione di questi ultimi.
Infine, la scelta preventiva del paese, nella sezione</a:t>
          </a:r>
          <a:r>
            <a:rPr lang="en-US" cap="none" sz="900" b="1" i="0" u="none" baseline="0">
              <a:solidFill>
                <a:srgbClr val="960E11"/>
              </a:solidFill>
            </a:rPr>
            <a:t> [contesto]</a:t>
          </a:r>
          <a:r>
            <a:rPr lang="en-US" cap="none" sz="900" b="0" i="0" u="none" baseline="0"/>
            <a:t>, non è qui tecnicamente indispensabile ai fini delle proiezioni, soprattutto se non viene utilizzata la parte A, ma è richiesta per maggiore chiarezza e completezza.  </a:t>
          </a:r>
          <a:r>
            <a:rPr lang="en-US" cap="none" sz="900" b="0" i="0" u="none" baseline="0">
              <a:latin typeface="Tahoma"/>
              <a:ea typeface="Tahoma"/>
              <a:cs typeface="Tahoma"/>
            </a:rPr>
            <a:t>
</a:t>
          </a:r>
        </a:p>
      </xdr:txBody>
    </xdr:sp>
    <xdr:clientData/>
  </xdr:twoCellAnchor>
  <xdr:twoCellAnchor>
    <xdr:from>
      <xdr:col>0</xdr:col>
      <xdr:colOff>485775</xdr:colOff>
      <xdr:row>351</xdr:row>
      <xdr:rowOff>28575</xdr:rowOff>
    </xdr:from>
    <xdr:to>
      <xdr:col>13</xdr:col>
      <xdr:colOff>400050</xdr:colOff>
      <xdr:row>363</xdr:row>
      <xdr:rowOff>28575</xdr:rowOff>
    </xdr:to>
    <xdr:sp>
      <xdr:nvSpPr>
        <xdr:cNvPr id="38" name="Rectangle 47"/>
        <xdr:cNvSpPr>
          <a:spLocks/>
        </xdr:cNvSpPr>
      </xdr:nvSpPr>
      <xdr:spPr>
        <a:xfrm>
          <a:off x="485775" y="52025550"/>
          <a:ext cx="6600825" cy="182880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a:t>
          </a:r>
          <a:r>
            <a:rPr lang="en-US" cap="none" sz="900" b="1" i="1" u="none" baseline="0">
              <a:solidFill>
                <a:srgbClr val="960E11"/>
              </a:solidFill>
            </a:rPr>
            <a:t>ii.</a:t>
          </a:r>
          <a:r>
            <a:rPr lang="en-US" cap="none" sz="900" b="1" i="0" u="none" baseline="0">
              <a:solidFill>
                <a:srgbClr val="960E11"/>
              </a:solidFill>
            </a:rPr>
            <a:t> Parametri potenzialmente utili per la formulazione di stime</a:t>
          </a:r>
          <a:r>
            <a:rPr lang="en-US" cap="none" sz="900" b="0" i="0" u="none" baseline="0"/>
            <a:t>
Il numero di punti vendita e la densità di abitanti per punto vendita in Italia possono eventualmente servire come dati di riferimento per effettuare un confronto con il paese di interesse e per valutare la ragionevolezza delle stime, qualora si sia in grado di stimare almeno una delle due grandezze per tale paese.
I dati qui forniti sono tratti da una</a:t>
          </a:r>
          <a:r>
            <a:rPr lang="en-US" cap="none" sz="900" b="1" i="0" u="none" baseline="0"/>
            <a:t> ricerca Bocconi sulla distribuzione al dettaglio</a:t>
          </a:r>
          <a:r>
            <a:rPr lang="en-US" cap="none" sz="900" b="0" i="0" u="none" baseline="0"/>
            <a:t>, che ovviamente non considera i grossisti, né la Ho.Re.Ca., ma considera i negozi marginali (qui non riportati).</a:t>
          </a:r>
          <a:r>
            <a:rPr lang="en-US" cap="none" sz="900" b="0" i="0" u="none" baseline="0">
              <a:latin typeface="Tahoma"/>
              <a:ea typeface="Tahoma"/>
              <a:cs typeface="Tahoma"/>
            </a:rPr>
            <a:t>
</a:t>
          </a:r>
        </a:p>
      </xdr:txBody>
    </xdr:sp>
    <xdr:clientData/>
  </xdr:twoCellAnchor>
  <xdr:twoCellAnchor>
    <xdr:from>
      <xdr:col>0</xdr:col>
      <xdr:colOff>485775</xdr:colOff>
      <xdr:row>401</xdr:row>
      <xdr:rowOff>28575</xdr:rowOff>
    </xdr:from>
    <xdr:to>
      <xdr:col>13</xdr:col>
      <xdr:colOff>400050</xdr:colOff>
      <xdr:row>410</xdr:row>
      <xdr:rowOff>85725</xdr:rowOff>
    </xdr:to>
    <xdr:sp>
      <xdr:nvSpPr>
        <xdr:cNvPr id="39" name="Rectangle 48"/>
        <xdr:cNvSpPr>
          <a:spLocks/>
        </xdr:cNvSpPr>
      </xdr:nvSpPr>
      <xdr:spPr>
        <a:xfrm>
          <a:off x="485775" y="5935980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1. Stima del numero di punti vendita</a:t>
          </a:r>
          <a:r>
            <a:rPr lang="en-US" cap="none" sz="900" b="0" i="0" u="none" baseline="0"/>
            <a:t>
Se si è in grado di stimare tale grandezza, il modello fornisce, nella riga sottostante, la densità di abitanti per punto vendita. 
Tale indicatore potrà essere confrontato, più oltre, con un’eventuale stima indipendente della stessa variabile: eventuali scostamenti eccessivi segnaleranno la necessità di rivedere le stime.</a:t>
          </a:r>
          <a:r>
            <a:rPr lang="en-US" cap="none" sz="900" b="0" i="0" u="none" baseline="0">
              <a:latin typeface="Tahoma"/>
              <a:ea typeface="Tahoma"/>
              <a:cs typeface="Tahoma"/>
            </a:rPr>
            <a:t>
</a:t>
          </a:r>
        </a:p>
      </xdr:txBody>
    </xdr:sp>
    <xdr:clientData/>
  </xdr:twoCellAnchor>
  <xdr:twoCellAnchor>
    <xdr:from>
      <xdr:col>0</xdr:col>
      <xdr:colOff>485775</xdr:colOff>
      <xdr:row>451</xdr:row>
      <xdr:rowOff>28575</xdr:rowOff>
    </xdr:from>
    <xdr:to>
      <xdr:col>13</xdr:col>
      <xdr:colOff>400050</xdr:colOff>
      <xdr:row>460</xdr:row>
      <xdr:rowOff>85725</xdr:rowOff>
    </xdr:to>
    <xdr:sp>
      <xdr:nvSpPr>
        <xdr:cNvPr id="40" name="Rectangle 49"/>
        <xdr:cNvSpPr>
          <a:spLocks/>
        </xdr:cNvSpPr>
      </xdr:nvSpPr>
      <xdr:spPr>
        <a:xfrm>
          <a:off x="485775" y="6665595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2. Stima della densità di abitanti per punto vendita</a:t>
          </a:r>
          <a:r>
            <a:rPr lang="en-US" cap="none" sz="900" b="0" i="0" u="none" baseline="0"/>
            <a:t>
Se si è in grado di stimare tale grandezza, il modello fornisce, nella riga sottostante, la numerosità dei punti vendita.
Tale indicatore potrà essere confrontato, più oltre, con un’eventuale stima indipendente della stessa variabile: eventuali scostamenti eccessivi segnaleranno la necessità di rivedere le stime.</a:t>
          </a:r>
          <a:r>
            <a:rPr lang="en-US" cap="none" sz="900" b="0" i="0" u="none" baseline="0">
              <a:latin typeface="Tahoma"/>
              <a:ea typeface="Tahoma"/>
              <a:cs typeface="Tahoma"/>
            </a:rPr>
            <a:t>
</a:t>
          </a:r>
        </a:p>
      </xdr:txBody>
    </xdr:sp>
    <xdr:clientData/>
  </xdr:twoCellAnchor>
  <xdr:twoCellAnchor>
    <xdr:from>
      <xdr:col>0</xdr:col>
      <xdr:colOff>485775</xdr:colOff>
      <xdr:row>501</xdr:row>
      <xdr:rowOff>28575</xdr:rowOff>
    </xdr:from>
    <xdr:to>
      <xdr:col>13</xdr:col>
      <xdr:colOff>400050</xdr:colOff>
      <xdr:row>510</xdr:row>
      <xdr:rowOff>85725</xdr:rowOff>
    </xdr:to>
    <xdr:sp>
      <xdr:nvSpPr>
        <xdr:cNvPr id="41" name="Rectangle 50"/>
        <xdr:cNvSpPr>
          <a:spLocks/>
        </xdr:cNvSpPr>
      </xdr:nvSpPr>
      <xdr:spPr>
        <a:xfrm>
          <a:off x="485775" y="7395210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3. Stima del numero di operatori per punto vendita</a:t>
          </a:r>
          <a:r>
            <a:rPr lang="en-US" cap="none" sz="900" b="0" i="0" u="none" baseline="0"/>
            <a:t>
Questa stima può essere utile qualora non si abbiano dati relativamente attendibili per una valutazione diretta del numero di operatori, prevista nella successiva parte B del modello.</a:t>
          </a:r>
          <a:r>
            <a:rPr lang="en-US" cap="none" sz="900" b="0" i="0" u="none" baseline="0">
              <a:latin typeface="Tahoma"/>
              <a:ea typeface="Tahoma"/>
              <a:cs typeface="Tahoma"/>
            </a:rPr>
            <a:t>
</a:t>
          </a:r>
        </a:p>
      </xdr:txBody>
    </xdr:sp>
    <xdr:clientData/>
  </xdr:twoCellAnchor>
  <xdr:twoCellAnchor>
    <xdr:from>
      <xdr:col>0</xdr:col>
      <xdr:colOff>485775</xdr:colOff>
      <xdr:row>551</xdr:row>
      <xdr:rowOff>28575</xdr:rowOff>
    </xdr:from>
    <xdr:to>
      <xdr:col>13</xdr:col>
      <xdr:colOff>400050</xdr:colOff>
      <xdr:row>560</xdr:row>
      <xdr:rowOff>85725</xdr:rowOff>
    </xdr:to>
    <xdr:sp>
      <xdr:nvSpPr>
        <xdr:cNvPr id="42" name="Rectangle 51"/>
        <xdr:cNvSpPr>
          <a:spLocks/>
        </xdr:cNvSpPr>
      </xdr:nvSpPr>
      <xdr:spPr>
        <a:xfrm>
          <a:off x="485775" y="8124825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4. Stima integrativa del numero di operatori per punto vendita</a:t>
          </a:r>
          <a:r>
            <a:rPr lang="en-US" cap="none" sz="900" b="0" i="0" u="none" baseline="0"/>
            <a:t>
Questa stima può integrare o sostituire quelle precedentemente elaborate. Senza la stima del numero di operatori non sarà possibile valutare la dimensione del mercato effettivo nell’ambito dei target successivamente prescelti, né la percentuale di “</a:t>
          </a:r>
          <a:r>
            <a:rPr lang="en-US" cap="none" sz="900" b="1" i="1" u="none" baseline="0">
              <a:solidFill>
                <a:srgbClr val="960E11"/>
              </a:solidFill>
            </a:rPr>
            <a:t>reach</a:t>
          </a:r>
          <a:r>
            <a:rPr lang="en-US" cap="none" sz="900" b="0" i="0" u="none" baseline="0"/>
            <a:t>”.</a:t>
          </a:r>
          <a:r>
            <a:rPr lang="en-US" cap="none" sz="900" b="0" i="0" u="none" baseline="0">
              <a:latin typeface="Tahoma"/>
              <a:ea typeface="Tahoma"/>
              <a:cs typeface="Tahoma"/>
            </a:rPr>
            <a:t>
</a:t>
          </a:r>
        </a:p>
      </xdr:txBody>
    </xdr:sp>
    <xdr:clientData/>
  </xdr:twoCellAnchor>
  <xdr:twoCellAnchor>
    <xdr:from>
      <xdr:col>0</xdr:col>
      <xdr:colOff>485775</xdr:colOff>
      <xdr:row>601</xdr:row>
      <xdr:rowOff>28575</xdr:rowOff>
    </xdr:from>
    <xdr:to>
      <xdr:col>13</xdr:col>
      <xdr:colOff>400050</xdr:colOff>
      <xdr:row>610</xdr:row>
      <xdr:rowOff>85725</xdr:rowOff>
    </xdr:to>
    <xdr:sp>
      <xdr:nvSpPr>
        <xdr:cNvPr id="43" name="Rectangle 52"/>
        <xdr:cNvSpPr>
          <a:spLocks/>
        </xdr:cNvSpPr>
      </xdr:nvSpPr>
      <xdr:spPr>
        <a:xfrm>
          <a:off x="485775" y="8854440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5. Stima degli acquisti medi per operatore</a:t>
          </a:r>
          <a:r>
            <a:rPr lang="en-US" cap="none" sz="900" b="0" i="0" u="none" baseline="0"/>
            <a:t>
Questa stima è </a:t>
          </a:r>
          <a:r>
            <a:rPr lang="en-US" cap="none" sz="900" b="1" i="0" u="none" baseline="0"/>
            <a:t>essenziale per calcolare sia il mercato effettivo, che, soprattutto, quello pertinente</a:t>
          </a:r>
          <a:r>
            <a:rPr lang="en-US" cap="none" sz="900" b="0" i="0" u="none" baseline="0"/>
            <a:t>.
Nel caso fossero disponibili stime attendibili espresse in termini di valore, dovranno essere convertite in quantità facendo riferimento al valore medio di un’unità di prodotto o a un insieme definito di unità di prodotto (v. la sezione</a:t>
          </a:r>
          <a:r>
            <a:rPr lang="en-US" cap="none" sz="900" b="1" i="0" u="none" baseline="0">
              <a:solidFill>
                <a:srgbClr val="960E11"/>
              </a:solidFill>
            </a:rPr>
            <a:t> [contesto]</a:t>
          </a:r>
          <a:r>
            <a:rPr lang="en-US" cap="none" sz="900" b="0" i="0" u="none" baseline="0"/>
            <a:t>).</a:t>
          </a:r>
          <a:r>
            <a:rPr lang="en-US" cap="none" sz="900" b="0" i="0" u="none" baseline="0">
              <a:latin typeface="Tahoma"/>
              <a:ea typeface="Tahoma"/>
              <a:cs typeface="Tahoma"/>
            </a:rPr>
            <a:t>
</a:t>
          </a:r>
        </a:p>
      </xdr:txBody>
    </xdr:sp>
    <xdr:clientData/>
  </xdr:twoCellAnchor>
  <xdr:twoCellAnchor>
    <xdr:from>
      <xdr:col>0</xdr:col>
      <xdr:colOff>485775</xdr:colOff>
      <xdr:row>651</xdr:row>
      <xdr:rowOff>28575</xdr:rowOff>
    </xdr:from>
    <xdr:to>
      <xdr:col>13</xdr:col>
      <xdr:colOff>400050</xdr:colOff>
      <xdr:row>660</xdr:row>
      <xdr:rowOff>85725</xdr:rowOff>
    </xdr:to>
    <xdr:sp>
      <xdr:nvSpPr>
        <xdr:cNvPr id="44" name="Rectangle 53"/>
        <xdr:cNvSpPr>
          <a:spLocks/>
        </xdr:cNvSpPr>
      </xdr:nvSpPr>
      <xdr:spPr>
        <a:xfrm>
          <a:off x="485775" y="9584055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6. Target n. di clienti da visitare in un anno</a:t>
          </a:r>
          <a:r>
            <a:rPr lang="en-US" cap="none" sz="900" b="0" i="0" u="none" baseline="0"/>
            <a:t>
Il target dovrà essere compatibile con il numero di visite previsto per cliente e con la capacità produttiva dell’organizzazione di vendita, che verrà stimata più oltre.</a:t>
          </a:r>
          <a:r>
            <a:rPr lang="en-US" cap="none" sz="900" b="0" i="0" u="none" baseline="0">
              <a:latin typeface="Tahoma"/>
              <a:ea typeface="Tahoma"/>
              <a:cs typeface="Tahoma"/>
            </a:rPr>
            <a:t>
</a:t>
          </a:r>
        </a:p>
      </xdr:txBody>
    </xdr:sp>
    <xdr:clientData/>
  </xdr:twoCellAnchor>
  <xdr:twoCellAnchor>
    <xdr:from>
      <xdr:col>0</xdr:col>
      <xdr:colOff>485775</xdr:colOff>
      <xdr:row>701</xdr:row>
      <xdr:rowOff>28575</xdr:rowOff>
    </xdr:from>
    <xdr:to>
      <xdr:col>13</xdr:col>
      <xdr:colOff>400050</xdr:colOff>
      <xdr:row>710</xdr:row>
      <xdr:rowOff>85725</xdr:rowOff>
    </xdr:to>
    <xdr:sp>
      <xdr:nvSpPr>
        <xdr:cNvPr id="45" name="Rectangle 54"/>
        <xdr:cNvSpPr>
          <a:spLocks/>
        </xdr:cNvSpPr>
      </xdr:nvSpPr>
      <xdr:spPr>
        <a:xfrm>
          <a:off x="485775" y="10313670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7. Target n. di visite/cliente/anno</a:t>
          </a:r>
          <a:r>
            <a:rPr lang="en-US" cap="none" sz="900" b="0" i="0" u="none" baseline="0"/>
            <a:t>
Il target dovrà essere compatibile con il numero di clienti da visitare e con la capacità produttiva dell’organizzazione di vendita, che verrà stimata più oltre.
  </a:t>
          </a:r>
          <a:r>
            <a:rPr lang="en-US" cap="none" sz="900" b="0" i="0" u="none" baseline="0">
              <a:latin typeface="Tahoma"/>
              <a:ea typeface="Tahoma"/>
              <a:cs typeface="Tahoma"/>
            </a:rPr>
            <a:t>
</a:t>
          </a:r>
        </a:p>
      </xdr:txBody>
    </xdr:sp>
    <xdr:clientData/>
  </xdr:twoCellAnchor>
  <xdr:twoCellAnchor>
    <xdr:from>
      <xdr:col>0</xdr:col>
      <xdr:colOff>485775</xdr:colOff>
      <xdr:row>751</xdr:row>
      <xdr:rowOff>28575</xdr:rowOff>
    </xdr:from>
    <xdr:to>
      <xdr:col>13</xdr:col>
      <xdr:colOff>400050</xdr:colOff>
      <xdr:row>760</xdr:row>
      <xdr:rowOff>85725</xdr:rowOff>
    </xdr:to>
    <xdr:sp>
      <xdr:nvSpPr>
        <xdr:cNvPr id="46" name="Rectangle 55"/>
        <xdr:cNvSpPr>
          <a:spLocks/>
        </xdr:cNvSpPr>
      </xdr:nvSpPr>
      <xdr:spPr>
        <a:xfrm>
          <a:off x="485775" y="11043285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8. Stima n. medio di visite giornaliere per venditore</a:t>
          </a:r>
          <a:r>
            <a:rPr lang="en-US" cap="none" sz="900" b="0" i="0" u="none" baseline="0"/>
            <a:t>
Questo è un primo elemento per valutare la capacità produttiva dell’organizzazione di vendita, e può evidentemente variare a seconda delle tipologie di clientela.</a:t>
          </a:r>
          <a:r>
            <a:rPr lang="en-US" cap="none" sz="900" b="0" i="0" u="none" baseline="0">
              <a:latin typeface="Tahoma"/>
              <a:ea typeface="Tahoma"/>
              <a:cs typeface="Tahoma"/>
            </a:rPr>
            <a:t>
</a:t>
          </a:r>
        </a:p>
      </xdr:txBody>
    </xdr:sp>
    <xdr:clientData/>
  </xdr:twoCellAnchor>
  <xdr:twoCellAnchor>
    <xdr:from>
      <xdr:col>0</xdr:col>
      <xdr:colOff>485775</xdr:colOff>
      <xdr:row>801</xdr:row>
      <xdr:rowOff>28575</xdr:rowOff>
    </xdr:from>
    <xdr:to>
      <xdr:col>13</xdr:col>
      <xdr:colOff>400050</xdr:colOff>
      <xdr:row>810</xdr:row>
      <xdr:rowOff>85725</xdr:rowOff>
    </xdr:to>
    <xdr:sp>
      <xdr:nvSpPr>
        <xdr:cNvPr id="47" name="Rectangle 56"/>
        <xdr:cNvSpPr>
          <a:spLocks/>
        </xdr:cNvSpPr>
      </xdr:nvSpPr>
      <xdr:spPr>
        <a:xfrm>
          <a:off x="485775" y="117729000"/>
          <a:ext cx="6600825" cy="14287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9. Stima n. medio di giornate di lavoro sul campo per venditore/anno</a:t>
          </a:r>
          <a:r>
            <a:rPr lang="en-US" cap="none" sz="900" b="0" i="0" u="none" baseline="0"/>
            <a:t>
Questo è il secondo dato essenziale per valutare la capacità produttiva dell’organizzazione di vendita: è indipendente dalle tipologie di clientela e può essere incrementato o diminuito al fine di rendere la capacità produttiva compatibile con i target sopra indicati.
  </a:t>
          </a:r>
          <a:r>
            <a:rPr lang="en-US" cap="none" sz="900" b="0" i="0" u="none" baseline="0">
              <a:latin typeface="Tahoma"/>
              <a:ea typeface="Tahoma"/>
              <a:cs typeface="Tahoma"/>
            </a:rPr>
            <a:t>
</a:t>
          </a:r>
        </a:p>
      </xdr:txBody>
    </xdr:sp>
    <xdr:clientData/>
  </xdr:twoCellAnchor>
  <xdr:twoCellAnchor>
    <xdr:from>
      <xdr:col>0</xdr:col>
      <xdr:colOff>485775</xdr:colOff>
      <xdr:row>851</xdr:row>
      <xdr:rowOff>28575</xdr:rowOff>
    </xdr:from>
    <xdr:to>
      <xdr:col>13</xdr:col>
      <xdr:colOff>400050</xdr:colOff>
      <xdr:row>862</xdr:row>
      <xdr:rowOff>9525</xdr:rowOff>
    </xdr:to>
    <xdr:sp>
      <xdr:nvSpPr>
        <xdr:cNvPr id="48" name="Rectangle 57"/>
        <xdr:cNvSpPr>
          <a:spLocks/>
        </xdr:cNvSpPr>
      </xdr:nvSpPr>
      <xdr:spPr>
        <a:xfrm>
          <a:off x="485775" y="125025150"/>
          <a:ext cx="6600825" cy="16573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Bottom-up
10. N. previsto di venditori da destinare al paese o all'area di interesse</a:t>
          </a:r>
          <a:r>
            <a:rPr lang="en-US" cap="none" sz="900" b="0" i="0" u="none" baseline="0"/>
            <a:t>
Questo è l’ultimo dato indispensabile per </a:t>
          </a:r>
          <a:r>
            <a:rPr lang="en-US" cap="none" sz="900" b="1" i="0" u="none" baseline="0"/>
            <a:t>verificare se i target sopra indicati sono compatibili</a:t>
          </a:r>
          <a:r>
            <a:rPr lang="en-US" cap="none" sz="900" b="0" i="0" u="none" baseline="0"/>
            <a:t> con la capacità produttiva dell’organizzazione di vendita: </a:t>
          </a:r>
          <a:r>
            <a:rPr lang="en-US" cap="none" sz="900" b="1" i="0" u="none" baseline="0"/>
            <a:t>se non lo fossero</a:t>
          </a:r>
          <a:r>
            <a:rPr lang="en-US" cap="none" sz="900" b="0" i="0" u="none" baseline="0"/>
            <a:t> (ossia, se vi fosse un gap negativo fra visite fattibili e visite necessarie in funzione dei target – v. righe sotto) </a:t>
          </a:r>
          <a:r>
            <a:rPr lang="en-US" cap="none" sz="900" b="1" i="0" u="none" baseline="0"/>
            <a:t>il modello non consentirebbe di stimare la dimensione del mercato</a:t>
          </a:r>
          <a:r>
            <a:rPr lang="en-US" cap="none" sz="900" b="0" i="0" u="none" baseline="0"/>
            <a:t>, e sarebbe quindi necessario ritarare i target e/o incrementare la capacità produttiva attraverso l’aggiunta di venditori (o frazioni di venditori nel caso di impieghi part-time) e/o il numero medio di giornate di lavoro sul campo per venditore.</a:t>
          </a:r>
          <a:r>
            <a:rPr lang="en-US" cap="none" sz="900" b="0" i="0" u="none" baseline="0">
              <a:latin typeface="Tahoma"/>
              <a:ea typeface="Tahoma"/>
              <a:cs typeface="Tahoma"/>
            </a:rPr>
            <a:t>
</a:t>
          </a:r>
        </a:p>
      </xdr:txBody>
    </xdr:sp>
    <xdr:clientData/>
  </xdr:twoCellAnchor>
  <xdr:twoCellAnchor>
    <xdr:from>
      <xdr:col>0</xdr:col>
      <xdr:colOff>485775</xdr:colOff>
      <xdr:row>900</xdr:row>
      <xdr:rowOff>28575</xdr:rowOff>
    </xdr:from>
    <xdr:to>
      <xdr:col>13</xdr:col>
      <xdr:colOff>400050</xdr:colOff>
      <xdr:row>912</xdr:row>
      <xdr:rowOff>47625</xdr:rowOff>
    </xdr:to>
    <xdr:sp>
      <xdr:nvSpPr>
        <xdr:cNvPr id="49" name="Rectangle 58"/>
        <xdr:cNvSpPr>
          <a:spLocks/>
        </xdr:cNvSpPr>
      </xdr:nvSpPr>
      <xdr:spPr>
        <a:xfrm>
          <a:off x="485775" y="132178425"/>
          <a:ext cx="6600825" cy="18478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a:t>
          </a:r>
          <a:r>
            <a:rPr lang="en-US" cap="none" sz="900" b="1" i="1" u="none" baseline="0">
              <a:solidFill>
                <a:srgbClr val="960E11"/>
              </a:solidFill>
            </a:rPr>
            <a:t>i.</a:t>
          </a:r>
          <a:r>
            <a:rPr lang="en-US" cap="none" sz="900" b="1" i="0" u="none" baseline="0">
              <a:solidFill>
                <a:srgbClr val="960E11"/>
              </a:solidFill>
            </a:rPr>
            <a:t> Applicabilità del modello</a:t>
          </a:r>
          <a:r>
            <a:rPr lang="en-US" cap="none" sz="900" b="0" i="0" u="none" baseline="0"/>
            <a:t>
Come anticipato nella sezione </a:t>
          </a:r>
          <a:r>
            <a:rPr lang="en-US" cap="none" sz="900" b="1" i="0" u="none" baseline="0">
              <a:solidFill>
                <a:srgbClr val="960E11"/>
              </a:solidFill>
            </a:rPr>
            <a:t>[scegli il modello]</a:t>
          </a:r>
          <a:r>
            <a:rPr lang="en-US" cap="none" sz="900" b="0" i="0" u="none" baseline="0"/>
            <a:t>, “benchmark” presuppone che sia disponibile almeno il dato relativo alla </a:t>
          </a:r>
          <a:r>
            <a:rPr lang="en-US" cap="none" sz="900" b="1" i="0" u="none" baseline="0"/>
            <a:t>dimensione del mercato</a:t>
          </a:r>
          <a:r>
            <a:rPr lang="en-US" cap="none" sz="900" b="0" i="0" u="none" baseline="0"/>
            <a:t>, per il prodotto di interesse, </a:t>
          </a:r>
          <a:r>
            <a:rPr lang="en-US" cap="none" sz="900" b="1" i="0" u="none" baseline="0"/>
            <a:t>in Italia </a:t>
          </a:r>
          <a:r>
            <a:rPr lang="en-US" cap="none" sz="900" b="0" i="0" u="none" baseline="0"/>
            <a:t>(v. oltre).
Qualora ci si riferisca a beni durevoli, il dato da utilizzare può riguardare sia le vendite nell’anno che il cosiddetto “parco installato” (ad esempio, il parco di macchine agricole immatricolato o circolante a una data qualsiasi): conoscendo almeno uno di questi dati si può ottenere l’altro stimando il tasso di obsolescenza dei beni (normalmente espresso in anni), e moltiplicando le vendite per questo tasso (per ottenere il parco) o dividendo il parco per il tasso (per ottenere le vendite).</a:t>
          </a:r>
          <a:r>
            <a:rPr lang="en-US" cap="none" sz="900" b="0" i="0" u="none" baseline="0">
              <a:latin typeface="Tahoma"/>
              <a:ea typeface="Tahoma"/>
              <a:cs typeface="Tahoma"/>
            </a:rPr>
            <a:t>
</a:t>
          </a:r>
        </a:p>
      </xdr:txBody>
    </xdr:sp>
    <xdr:clientData/>
  </xdr:twoCellAnchor>
  <xdr:twoCellAnchor>
    <xdr:from>
      <xdr:col>0</xdr:col>
      <xdr:colOff>485775</xdr:colOff>
      <xdr:row>950</xdr:row>
      <xdr:rowOff>28575</xdr:rowOff>
    </xdr:from>
    <xdr:to>
      <xdr:col>13</xdr:col>
      <xdr:colOff>400050</xdr:colOff>
      <xdr:row>962</xdr:row>
      <xdr:rowOff>47625</xdr:rowOff>
    </xdr:to>
    <xdr:sp>
      <xdr:nvSpPr>
        <xdr:cNvPr id="50" name="Rectangle 59"/>
        <xdr:cNvSpPr>
          <a:spLocks/>
        </xdr:cNvSpPr>
      </xdr:nvSpPr>
      <xdr:spPr>
        <a:xfrm>
          <a:off x="485775" y="139474575"/>
          <a:ext cx="6600825" cy="18478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1. Modifica del peso del PIL</a:t>
          </a:r>
          <a:r>
            <a:rPr lang="en-US" cap="none" sz="900" b="0" i="0" u="none" baseline="0"/>
            <a:t>
Tieni presente che il PIL (scelto come indicatore riassuntivo della potenzialità complessiva del paese) è sicuramente molto importante, ma la sua</a:t>
          </a:r>
          <a:r>
            <a:rPr lang="en-US" cap="none" sz="900" b="1" i="0" u="none" baseline="0"/>
            <a:t> importanza relativa può cambiare</a:t>
          </a:r>
          <a:r>
            <a:rPr lang="en-US" cap="none" sz="900" b="0" i="0" u="none" baseline="0"/>
            <a:t> a seconda del settore considerato e, soprattutto, del grado di sviluppo del paese di interesse: in paesi poco industrializzati e culturalmente molto distanti dall’Italia, altri parametri socio-economico-demografici (o addirittura valutazioni basate sul puro buon senso e non su dati oggettivi – v. oltre, al punto 4, la possibilità di inserire indicatori aggiuntivi rispetto a quelli standard) possono essere di particolare rilievo.</a:t>
          </a:r>
          <a:r>
            <a:rPr lang="en-US" cap="none" sz="900" b="0" i="0" u="none" baseline="0">
              <a:latin typeface="Tahoma"/>
              <a:ea typeface="Tahoma"/>
              <a:cs typeface="Tahoma"/>
            </a:rPr>
            <a:t>
</a:t>
          </a:r>
        </a:p>
      </xdr:txBody>
    </xdr:sp>
    <xdr:clientData/>
  </xdr:twoCellAnchor>
  <xdr:twoCellAnchor>
    <xdr:from>
      <xdr:col>0</xdr:col>
      <xdr:colOff>485775</xdr:colOff>
      <xdr:row>1000</xdr:row>
      <xdr:rowOff>28575</xdr:rowOff>
    </xdr:from>
    <xdr:to>
      <xdr:col>13</xdr:col>
      <xdr:colOff>400050</xdr:colOff>
      <xdr:row>1024</xdr:row>
      <xdr:rowOff>114300</xdr:rowOff>
    </xdr:to>
    <xdr:sp>
      <xdr:nvSpPr>
        <xdr:cNvPr id="51" name="Rectangle 60"/>
        <xdr:cNvSpPr>
          <a:spLocks/>
        </xdr:cNvSpPr>
      </xdr:nvSpPr>
      <xdr:spPr>
        <a:xfrm>
          <a:off x="485775" y="146761200"/>
          <a:ext cx="6600825" cy="374332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2. Scelta di parametri integrativi del PIL</a:t>
          </a:r>
          <a:r>
            <a:rPr lang="en-US" cap="none" sz="900" b="0" i="0" u="none" baseline="0"/>
            <a:t>
Questo strumento mette a disposizione </a:t>
          </a:r>
          <a:r>
            <a:rPr lang="en-US" cap="none" sz="900" b="1" i="0" u="none" baseline="0"/>
            <a:t>22 indicatori di "default", in aggiunta al PIL, alla popolazione e al PIL/ppp pro-capite</a:t>
          </a:r>
          <a:r>
            <a:rPr lang="en-US" cap="none" sz="900" b="0" i="0" u="none" baseline="0"/>
            <a:t> (v. Appendice B): fra questi, sarà possibile sceglierne un massimo di 3, ma potrà eventualmente esserne aggiunto un altro, a discrezione dell'utilizzatore (v. oltre).
Gli indicatori proposti sono stati scelti fra alcune centinaia di variabili, attingendo soprattutto alla fonte www.cia.gov/cia/: il criteri di inclusione sono stati soprattutto la disponibilità dei dati per tutti gli 80 paesi considerati e la capacità discriminante delle diverse variabili (non considerate quelle con un coefficiente di variazione inferiore al 10%). Non sono stati inoltre considerati indicatori che possono essere calcolati attraverso l’elaborazione di altri indicatori elementari.
Nella scelta dei parametri integrativi (o, eventualmente, addirittura sostitutivi) del PIL, è opportuno valutare adeguatamente la seguente </a:t>
          </a:r>
          <a:r>
            <a:rPr lang="en-US" cap="none" sz="900" b="1" i="0" u="none" baseline="0"/>
            <a:t>possibile causa di distorsione</a:t>
          </a:r>
          <a:r>
            <a:rPr lang="en-US" cap="none" sz="900" b="0" i="0" u="none" baseline="0"/>
            <a:t>: dovendo stimare dei valori quantitativi assoluti (dimensione dei mercati), è importante non </a:t>
          </a:r>
          <a:r>
            <a:rPr lang="en-US" cap="none" sz="900" b="1" i="0" u="none" baseline="0"/>
            <a:t>dare un peso eccessivo a parametri misurabili in termini di rapporti</a:t>
          </a:r>
          <a:r>
            <a:rPr lang="en-US" cap="none" sz="900" b="0" i="0" u="none" baseline="0"/>
            <a:t> (ratios), altrimenti potrebbero rivelarsi molto promettenti mercati molto piccoli, ma con valori molto elevati con riferimento a tali parametri (ad esempio, reddito o consumi pro-capite, tasso di sviluppo umano, ecc.).
Per contro, dato il valore puramente indicativo dei risultati forniti da questo modello,</a:t>
          </a:r>
          <a:r>
            <a:rPr lang="en-US" cap="none" sz="900" b="1" i="0" u="none" baseline="0"/>
            <a:t> non è il caso di preoccuparsi più di quel tanto del pericolo di </a:t>
          </a:r>
          <a:r>
            <a:rPr lang="en-US" cap="none" sz="900" b="1" i="1" u="none" baseline="0"/>
            <a:t>double counting</a:t>
          </a:r>
          <a:r>
            <a:rPr lang="en-US" cap="none" sz="900" b="0" i="0" u="none" baseline="0"/>
            <a:t> nel caso vengano considerati due o più parametri fra loro in qualche misura correlati (ad esempio: PIL totale e PIL industriale): l’attribuzione di pesi percentuali distinti ai diversi parametri presupporrebbe infatti, normalmente, l’indipendenza di tali parametri, ma un eccessivo scrupolo su questo aspetto finirebbe per rendere la scelta dei parametri inutilmente laboriosa.
</a:t>
          </a:r>
          <a:r>
            <a:rPr lang="en-US" cap="none" sz="900" b="0" i="0" u="none" baseline="0">
              <a:latin typeface="Tahoma"/>
              <a:ea typeface="Tahoma"/>
              <a:cs typeface="Tahoma"/>
            </a:rPr>
            <a:t>
</a:t>
          </a:r>
        </a:p>
      </xdr:txBody>
    </xdr:sp>
    <xdr:clientData/>
  </xdr:twoCellAnchor>
  <xdr:twoCellAnchor>
    <xdr:from>
      <xdr:col>0</xdr:col>
      <xdr:colOff>485775</xdr:colOff>
      <xdr:row>1059</xdr:row>
      <xdr:rowOff>28575</xdr:rowOff>
    </xdr:from>
    <xdr:to>
      <xdr:col>13</xdr:col>
      <xdr:colOff>400050</xdr:colOff>
      <xdr:row>1069</xdr:row>
      <xdr:rowOff>95250</xdr:rowOff>
    </xdr:to>
    <xdr:sp>
      <xdr:nvSpPr>
        <xdr:cNvPr id="52" name="Rectangle 61"/>
        <xdr:cNvSpPr>
          <a:spLocks/>
        </xdr:cNvSpPr>
      </xdr:nvSpPr>
      <xdr:spPr>
        <a:xfrm>
          <a:off x="485775" y="155448000"/>
          <a:ext cx="6600825" cy="15906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3. Parametri inversamente correlati al potenziale</a:t>
          </a:r>
          <a:r>
            <a:rPr lang="en-US" cap="none" sz="900" b="0" i="0" u="none" baseline="0"/>
            <a:t>
Sia al punto 2 appena visto, che al successivo punto 4, è importante segnalare esplicitamente se un dato parametro è inversamente correlato al potenziale di mercato: ad esempio, il livello di tasse di importazione limita ovviamente il consumo di prodotti importati.</a:t>
          </a:r>
          <a:r>
            <a:rPr lang="en-US" cap="none" sz="900" b="0" i="0" u="none" baseline="0">
              <a:latin typeface="Tahoma"/>
              <a:ea typeface="Tahoma"/>
              <a:cs typeface="Tahoma"/>
            </a:rPr>
            <a:t>
</a:t>
          </a:r>
        </a:p>
      </xdr:txBody>
    </xdr:sp>
    <xdr:clientData/>
  </xdr:twoCellAnchor>
  <xdr:twoCellAnchor>
    <xdr:from>
      <xdr:col>0</xdr:col>
      <xdr:colOff>485775</xdr:colOff>
      <xdr:row>1109</xdr:row>
      <xdr:rowOff>28575</xdr:rowOff>
    </xdr:from>
    <xdr:to>
      <xdr:col>13</xdr:col>
      <xdr:colOff>400050</xdr:colOff>
      <xdr:row>1119</xdr:row>
      <xdr:rowOff>95250</xdr:rowOff>
    </xdr:to>
    <xdr:sp>
      <xdr:nvSpPr>
        <xdr:cNvPr id="53" name="Rectangle 62"/>
        <xdr:cNvSpPr>
          <a:spLocks/>
        </xdr:cNvSpPr>
      </xdr:nvSpPr>
      <xdr:spPr>
        <a:xfrm>
          <a:off x="485775" y="162734625"/>
          <a:ext cx="6600825" cy="15906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4. Aggiunta di un indicatore non previsto nella lista proposta dal modello</a:t>
          </a:r>
          <a:r>
            <a:rPr lang="en-US" cap="none" sz="900" b="0" i="0" u="none" baseline="0"/>
            <a:t>
Qui è possibile aggiungere un qualsiasi indicatore ritenuto rilevante, anche di tipo puramente qualitativo: in quest’ultimo caso, dovrà comunque essere tradotto in un indice numerico.</a:t>
          </a:r>
          <a:r>
            <a:rPr lang="en-US" cap="none" sz="900" b="0" i="0" u="none" baseline="0">
              <a:latin typeface="Tahoma"/>
              <a:ea typeface="Tahoma"/>
              <a:cs typeface="Tahoma"/>
            </a:rPr>
            <a:t>
</a:t>
          </a:r>
        </a:p>
      </xdr:txBody>
    </xdr:sp>
    <xdr:clientData/>
  </xdr:twoCellAnchor>
  <xdr:twoCellAnchor>
    <xdr:from>
      <xdr:col>0</xdr:col>
      <xdr:colOff>485775</xdr:colOff>
      <xdr:row>1159</xdr:row>
      <xdr:rowOff>28575</xdr:rowOff>
    </xdr:from>
    <xdr:to>
      <xdr:col>13</xdr:col>
      <xdr:colOff>400050</xdr:colOff>
      <xdr:row>1169</xdr:row>
      <xdr:rowOff>95250</xdr:rowOff>
    </xdr:to>
    <xdr:sp>
      <xdr:nvSpPr>
        <xdr:cNvPr id="54" name="Rectangle 63"/>
        <xdr:cNvSpPr>
          <a:spLocks/>
        </xdr:cNvSpPr>
      </xdr:nvSpPr>
      <xdr:spPr>
        <a:xfrm>
          <a:off x="485775" y="170021250"/>
          <a:ext cx="6600825" cy="15906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5. Stima dell'importanza relativa dei parametri</a:t>
          </a:r>
          <a:r>
            <a:rPr lang="en-US" cap="none" sz="900" b="0" i="0" u="none" baseline="0"/>
            <a:t>
Basterà posizionare il cursore (che assumerà la nota forma di una “manina”) sulle barrette verticali a sinistra e all’interno di ognuna delle barre di scorrimento e spostarle orizzontalmente in funzione delle valutazioni di importanza relativa (oppure cliccare sulle freccette a destra e a sinistra delle barre): l’importanza relativa dei parametri (escluso il PIL, già considerato) verrà indicata percentualmente a sinistra delle barre. 
</a:t>
          </a:r>
          <a:r>
            <a:rPr lang="en-US" cap="none" sz="900" b="0" i="0" u="none" baseline="0">
              <a:latin typeface="Tahoma"/>
              <a:ea typeface="Tahoma"/>
              <a:cs typeface="Tahoma"/>
            </a:rPr>
            <a:t>
</a:t>
          </a:r>
        </a:p>
      </xdr:txBody>
    </xdr:sp>
    <xdr:clientData/>
  </xdr:twoCellAnchor>
  <xdr:twoCellAnchor>
    <xdr:from>
      <xdr:col>0</xdr:col>
      <xdr:colOff>485775</xdr:colOff>
      <xdr:row>1209</xdr:row>
      <xdr:rowOff>28575</xdr:rowOff>
    </xdr:from>
    <xdr:to>
      <xdr:col>13</xdr:col>
      <xdr:colOff>400050</xdr:colOff>
      <xdr:row>1219</xdr:row>
      <xdr:rowOff>95250</xdr:rowOff>
    </xdr:to>
    <xdr:sp>
      <xdr:nvSpPr>
        <xdr:cNvPr id="55" name="Rectangle 64"/>
        <xdr:cNvSpPr>
          <a:spLocks/>
        </xdr:cNvSpPr>
      </xdr:nvSpPr>
      <xdr:spPr>
        <a:xfrm>
          <a:off x="485775" y="177307875"/>
          <a:ext cx="6600825" cy="15906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Benchmark
6. Dimensione del mercato italiano</a:t>
          </a:r>
          <a:r>
            <a:rPr lang="en-US" cap="none" sz="900" b="0" i="0" u="none" baseline="0"/>
            <a:t>
Il modello prevede che la dimensione venga espressa in</a:t>
          </a:r>
          <a:r>
            <a:rPr lang="en-US" cap="none" sz="900" b="1" i="0" u="none" baseline="0"/>
            <a:t> quantità</a:t>
          </a:r>
          <a:r>
            <a:rPr lang="en-US" cap="none" sz="900" b="0" i="0" u="none" baseline="0"/>
            <a:t>, anche per evitare ulteriori distorsioni (oltre a quelle inevitabilmente create dalla scelta dei parametri di confronto e dalla loro ponderazione) dovute ai tassi di cambio, ma nulla impedisce che, con le dovute cautele interpretative, si utilizzino dati a valore.
</a:t>
          </a:r>
          <a:r>
            <a:rPr lang="en-US" cap="none" sz="900" b="0" i="0" u="none" baseline="0">
              <a:latin typeface="Tahoma"/>
              <a:ea typeface="Tahoma"/>
              <a:cs typeface="Tahoma"/>
            </a:rPr>
            <a:t>
</a:t>
          </a:r>
        </a:p>
      </xdr:txBody>
    </xdr:sp>
    <xdr:clientData/>
  </xdr:twoCellAnchor>
  <xdr:twoCellAnchor>
    <xdr:from>
      <xdr:col>0</xdr:col>
      <xdr:colOff>485775</xdr:colOff>
      <xdr:row>1259</xdr:row>
      <xdr:rowOff>28575</xdr:rowOff>
    </xdr:from>
    <xdr:to>
      <xdr:col>13</xdr:col>
      <xdr:colOff>400050</xdr:colOff>
      <xdr:row>1283</xdr:row>
      <xdr:rowOff>47625</xdr:rowOff>
    </xdr:to>
    <xdr:sp>
      <xdr:nvSpPr>
        <xdr:cNvPr id="56" name="Rectangle 65"/>
        <xdr:cNvSpPr>
          <a:spLocks/>
        </xdr:cNvSpPr>
      </xdr:nvSpPr>
      <xdr:spPr>
        <a:xfrm>
          <a:off x="485775" y="184594500"/>
          <a:ext cx="6600825" cy="36766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a:t>
          </a:r>
          <a:r>
            <a:rPr lang="en-US" cap="none" sz="900" b="1" i="1" u="none" baseline="0">
              <a:solidFill>
                <a:srgbClr val="960E11"/>
              </a:solidFill>
            </a:rPr>
            <a:t>i.</a:t>
          </a:r>
          <a:r>
            <a:rPr lang="en-US" cap="none" sz="900" b="1" i="0" u="none" baseline="0">
              <a:solidFill>
                <a:srgbClr val="960E11"/>
              </a:solidFill>
            </a:rPr>
            <a:t> Applicabilità del modello</a:t>
          </a:r>
          <a:r>
            <a:rPr lang="en-US" cap="none" sz="900" b="0" i="0" u="none" baseline="0"/>
            <a:t>
Per una migliore interpretazione del funzionamento e dei limiti di questo modello è utile fare riferimento al significato convenzionale attribuito, nel glossario, ai seguenti termini: “</a:t>
          </a:r>
          <a:r>
            <a:rPr lang="en-US" cap="none" sz="900" b="1" i="1" u="none" baseline="0">
              <a:solidFill>
                <a:srgbClr val="960E11"/>
              </a:solidFill>
            </a:rPr>
            <a:t>mercato teorico</a:t>
          </a:r>
          <a:r>
            <a:rPr lang="en-US" cap="none" sz="900" b="0" i="0" u="none" baseline="0"/>
            <a:t>”, “</a:t>
          </a:r>
          <a:r>
            <a:rPr lang="en-US" cap="none" sz="900" b="1" i="1" u="none" baseline="0">
              <a:solidFill>
                <a:srgbClr val="960E11"/>
              </a:solidFill>
            </a:rPr>
            <a:t>mercato disponibile</a:t>
          </a:r>
          <a:r>
            <a:rPr lang="en-US" cap="none" sz="900" b="0" i="0" u="none" baseline="0"/>
            <a:t>”, “</a:t>
          </a:r>
          <a:r>
            <a:rPr lang="en-US" cap="none" sz="900" b="1" i="1" u="none" baseline="0">
              <a:solidFill>
                <a:srgbClr val="960E11"/>
              </a:solidFill>
            </a:rPr>
            <a:t>mercato effettivo</a:t>
          </a:r>
          <a:r>
            <a:rPr lang="en-US" cap="none" sz="900" b="0" i="0" u="none" baseline="0"/>
            <a:t>”, “</a:t>
          </a:r>
          <a:r>
            <a:rPr lang="en-US" cap="none" sz="900" b="1" i="1" u="none" baseline="0">
              <a:solidFill>
                <a:srgbClr val="960E11"/>
              </a:solidFill>
            </a:rPr>
            <a:t>mercato pertinente</a:t>
          </a:r>
          <a:r>
            <a:rPr lang="en-US" cap="none" sz="900" b="0" i="0" u="none" baseline="0"/>
            <a:t>”.
Pur trattandosi di un modello generico, si presta maggiormente alla stima di potenziali di mercato in settori di</a:t>
          </a:r>
          <a:r>
            <a:rPr lang="en-US" cap="none" sz="900" b="1" i="0" u="none" baseline="0"/>
            <a:t> largo consumo non durevole</a:t>
          </a:r>
          <a:r>
            <a:rPr lang="en-US" cap="none" sz="900" b="0" i="0" u="none" baseline="0"/>
            <a:t> (dato che viene proposta la stima dei consumi pro-capite nell’ambito di un periodo di tempo – l’anno – e non quella dell’utilizzo puntuale, a una data determinata, di beni durevoli) e a livello della </a:t>
          </a:r>
          <a:r>
            <a:rPr lang="en-US" cap="none" sz="900" b="1" i="0" u="none" baseline="0"/>
            <a:t>domanda finale</a:t>
          </a:r>
          <a:r>
            <a:rPr lang="en-US" cap="none" sz="900" b="0" i="0" u="none" baseline="0"/>
            <a:t>.
Tuttavia, nulla impedisce che, in settori di </a:t>
          </a:r>
          <a:r>
            <a:rPr lang="en-US" cap="none" sz="900" b="1" i="0" u="none" baseline="0"/>
            <a:t>beni durevoli </a:t>
          </a:r>
          <a:r>
            <a:rPr lang="en-US" cap="none" sz="900" b="0" i="0" u="none" baseline="0"/>
            <a:t>(sia B2C che B2B), si possa fare riferimento, anziché ai consumi, agli </a:t>
          </a:r>
          <a:r>
            <a:rPr lang="en-US" cap="none" sz="900" b="1" i="0" u="none" baseline="0"/>
            <a:t>utilizzi</a:t>
          </a:r>
          <a:r>
            <a:rPr lang="en-US" cap="none" sz="900" b="0" i="0" u="none" baseline="0"/>
            <a:t> (in questo caso verrebbe stimato il cosiddetto “parco installato”) o addirittura ai semplici </a:t>
          </a:r>
          <a:r>
            <a:rPr lang="en-US" cap="none" sz="900" b="1" i="0" u="none" baseline="0"/>
            <a:t>acquisti</a:t>
          </a:r>
          <a:r>
            <a:rPr lang="en-US" cap="none" sz="900" b="0" i="0" u="none" baseline="0"/>
            <a:t>, non necessariamente legati al vero e proprio consumo (in quest’ultimo caso il modello si presterebbe alla stima del potenziale anche a livello dei mercati intermedi, ossia dei distributori: varierebbe soltanto, in parte, il significato da attribuire alle variabili di “disponibilità”, descritte più oltre).
Inutile dire che, trattandosi di un modello basato esclusivamente su stime, non potrà che fornire indicazioni in termini di “</a:t>
          </a:r>
          <a:r>
            <a:rPr lang="en-US" cap="none" sz="900" b="1" i="0" u="none" baseline="0"/>
            <a:t>ordini di grandezza</a:t>
          </a:r>
          <a:r>
            <a:rPr lang="en-US" cap="none" sz="900" b="0" i="0" u="none" baseline="0"/>
            <a:t>” ritenuti ragionevoli, e non certo risultati precisi.
Infine, la scelta preventiva del paese, nella sezione</a:t>
          </a:r>
          <a:r>
            <a:rPr lang="en-US" cap="none" sz="900" b="1" i="0" u="none" baseline="0">
              <a:solidFill>
                <a:srgbClr val="960E11"/>
              </a:solidFill>
            </a:rPr>
            <a:t> [contesto]</a:t>
          </a:r>
          <a:r>
            <a:rPr lang="en-US" cap="none" sz="900" b="0" i="0" u="none" baseline="0"/>
            <a:t>, non è qui tecnicamente indispensabile ai fini delle proiezioni, ma è richiesta per maggiore chiarezza e completezza. 
</a:t>
          </a:r>
          <a:r>
            <a:rPr lang="en-US" cap="none" sz="900" b="0" i="0" u="none" baseline="0">
              <a:latin typeface="Tahoma"/>
              <a:ea typeface="Tahoma"/>
              <a:cs typeface="Tahoma"/>
            </a:rPr>
            <a:t>
</a:t>
          </a:r>
        </a:p>
      </xdr:txBody>
    </xdr:sp>
    <xdr:clientData/>
  </xdr:twoCellAnchor>
  <xdr:twoCellAnchor>
    <xdr:from>
      <xdr:col>0</xdr:col>
      <xdr:colOff>485775</xdr:colOff>
      <xdr:row>1309</xdr:row>
      <xdr:rowOff>28575</xdr:rowOff>
    </xdr:from>
    <xdr:to>
      <xdr:col>13</xdr:col>
      <xdr:colOff>400050</xdr:colOff>
      <xdr:row>1318</xdr:row>
      <xdr:rowOff>9525</xdr:rowOff>
    </xdr:to>
    <xdr:sp>
      <xdr:nvSpPr>
        <xdr:cNvPr id="57" name="Rectangle 66"/>
        <xdr:cNvSpPr>
          <a:spLocks/>
        </xdr:cNvSpPr>
      </xdr:nvSpPr>
      <xdr:spPr>
        <a:xfrm>
          <a:off x="485775" y="192004950"/>
          <a:ext cx="6600825" cy="1352550"/>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1. Numero di consumatori o utilizzatori "teorici"</a:t>
          </a:r>
          <a:r>
            <a:rPr lang="en-US" cap="none" sz="900" b="0" i="0" u="none" baseline="0"/>
            <a:t>
La loro numerosità </a:t>
          </a:r>
          <a:r>
            <a:rPr lang="en-US" cap="none" sz="900" b="1" i="0" u="none" baseline="0"/>
            <a:t>dipende</a:t>
          </a:r>
          <a:r>
            <a:rPr lang="en-US" cap="none" sz="900" b="0" i="0" u="none" baseline="0"/>
            <a:t>, nell’ambito del mercato geografico e dell’eventuale area di riferimento, </a:t>
          </a:r>
          <a:r>
            <a:rPr lang="en-US" cap="none" sz="900" b="1" i="0" u="none" baseline="0"/>
            <a:t>da come è stato definito il segmento e il target di interesse</a:t>
          </a:r>
          <a:r>
            <a:rPr lang="en-US" cap="none" sz="900" b="0" i="0" u="none" baseline="0"/>
            <a:t>: sarà tanto minore quanto più sarà stata precisa la definizione del target.
</a:t>
          </a:r>
          <a:r>
            <a:rPr lang="en-US" cap="none" sz="900" b="0" i="0" u="none" baseline="0">
              <a:latin typeface="Tahoma"/>
              <a:ea typeface="Tahoma"/>
              <a:cs typeface="Tahoma"/>
            </a:rPr>
            <a:t>
</a:t>
          </a:r>
        </a:p>
      </xdr:txBody>
    </xdr:sp>
    <xdr:clientData/>
  </xdr:twoCellAnchor>
  <xdr:twoCellAnchor>
    <xdr:from>
      <xdr:col>0</xdr:col>
      <xdr:colOff>485775</xdr:colOff>
      <xdr:row>1403</xdr:row>
      <xdr:rowOff>28575</xdr:rowOff>
    </xdr:from>
    <xdr:to>
      <xdr:col>13</xdr:col>
      <xdr:colOff>400050</xdr:colOff>
      <xdr:row>1413</xdr:row>
      <xdr:rowOff>57150</xdr:rowOff>
    </xdr:to>
    <xdr:sp>
      <xdr:nvSpPr>
        <xdr:cNvPr id="58" name="Rectangle 68"/>
        <xdr:cNvSpPr>
          <a:spLocks/>
        </xdr:cNvSpPr>
      </xdr:nvSpPr>
      <xdr:spPr>
        <a:xfrm>
          <a:off x="485775" y="205663800"/>
          <a:ext cx="6600825" cy="15525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3. Grado di consapevolezza del bisogno</a:t>
          </a:r>
          <a:r>
            <a:rPr lang="en-US" cap="none" sz="900" b="0" i="0" u="none" baseline="0"/>
            <a:t>
È indispensabile, ai fini della disponibilità all’acquisto, che, oltre al requisito precedente, vi sia la consapevolezza della potenziale utilità del prodotto, ossia della sua capacità di soddisfare un bisogno, e che tale bisogno sia almeno superficialmente sentito da parte del target.
</a:t>
          </a:r>
          <a:r>
            <a:rPr lang="en-US" cap="none" sz="900" b="0" i="0" u="none" baseline="0">
              <a:latin typeface="Tahoma"/>
              <a:ea typeface="Tahoma"/>
              <a:cs typeface="Tahoma"/>
            </a:rPr>
            <a:t>
</a:t>
          </a:r>
        </a:p>
      </xdr:txBody>
    </xdr:sp>
    <xdr:clientData/>
  </xdr:twoCellAnchor>
  <xdr:twoCellAnchor>
    <xdr:from>
      <xdr:col>0</xdr:col>
      <xdr:colOff>485775</xdr:colOff>
      <xdr:row>1453</xdr:row>
      <xdr:rowOff>28575</xdr:rowOff>
    </xdr:from>
    <xdr:to>
      <xdr:col>13</xdr:col>
      <xdr:colOff>400050</xdr:colOff>
      <xdr:row>1464</xdr:row>
      <xdr:rowOff>57150</xdr:rowOff>
    </xdr:to>
    <xdr:sp>
      <xdr:nvSpPr>
        <xdr:cNvPr id="59" name="Rectangle 69"/>
        <xdr:cNvSpPr>
          <a:spLocks/>
        </xdr:cNvSpPr>
      </xdr:nvSpPr>
      <xdr:spPr>
        <a:xfrm>
          <a:off x="485775" y="212959950"/>
          <a:ext cx="6600825" cy="17049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4. Capacità tecnica e/o legale di utilizzo o consumo</a:t>
          </a:r>
          <a:r>
            <a:rPr lang="en-US" cap="none" sz="900" b="0" i="0" u="none" baseline="0"/>
            <a:t>
Il contenuto di questo requisito varia ovviamente a seconda del prodotto considerato. Nella grande maggioranza dei settori l’abilitazione “legale” all’utilizzo o al consumo è data per scontata (uguale al 100%), mentre potrebbero esservi difficoltà “tecniche” all’utilizzo anche per prodotti di largo consumo: ad esempio, allergie alimentari o a particolari prodotti cosmetici.
In settori B2B la capacità tecnica può dipendere, ad esempio, dalle tecnologie e dalle strutture di cui dispone il potenziale utilizzatore.
</a:t>
          </a:r>
          <a:r>
            <a:rPr lang="en-US" cap="none" sz="900" b="0" i="0" u="none" baseline="0">
              <a:latin typeface="Tahoma"/>
              <a:ea typeface="Tahoma"/>
              <a:cs typeface="Tahoma"/>
            </a:rPr>
            <a:t>
</a:t>
          </a:r>
        </a:p>
      </xdr:txBody>
    </xdr:sp>
    <xdr:clientData/>
  </xdr:twoCellAnchor>
  <xdr:twoCellAnchor>
    <xdr:from>
      <xdr:col>0</xdr:col>
      <xdr:colOff>485775</xdr:colOff>
      <xdr:row>1503</xdr:row>
      <xdr:rowOff>28575</xdr:rowOff>
    </xdr:from>
    <xdr:to>
      <xdr:col>13</xdr:col>
      <xdr:colOff>400050</xdr:colOff>
      <xdr:row>1513</xdr:row>
      <xdr:rowOff>57150</xdr:rowOff>
    </xdr:to>
    <xdr:sp>
      <xdr:nvSpPr>
        <xdr:cNvPr id="60" name="Rectangle 70"/>
        <xdr:cNvSpPr>
          <a:spLocks/>
        </xdr:cNvSpPr>
      </xdr:nvSpPr>
      <xdr:spPr>
        <a:xfrm>
          <a:off x="485775" y="220265625"/>
          <a:ext cx="6600825" cy="15525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5. Accesso al prodotto</a:t>
          </a:r>
          <a:r>
            <a:rPr lang="en-US" cap="none" sz="900" b="0" i="0" u="none" baseline="0"/>
            <a:t>
Anche questo è un requisito indispensabile: occorre che il target sappia quanto meno come procurarsi il prodotto senza eccessivo dispendio di tempo e di energie, direttamente presso il produttore (ad esempio, di persona, per telefono, via web, per posta) o presso intermediari.
</a:t>
          </a:r>
          <a:r>
            <a:rPr lang="en-US" cap="none" sz="900" b="0" i="0" u="none" baseline="0">
              <a:latin typeface="Tahoma"/>
              <a:ea typeface="Tahoma"/>
              <a:cs typeface="Tahoma"/>
            </a:rPr>
            <a:t>
</a:t>
          </a:r>
        </a:p>
      </xdr:txBody>
    </xdr:sp>
    <xdr:clientData/>
  </xdr:twoCellAnchor>
  <xdr:twoCellAnchor>
    <xdr:from>
      <xdr:col>0</xdr:col>
      <xdr:colOff>485775</xdr:colOff>
      <xdr:row>1553</xdr:row>
      <xdr:rowOff>28575</xdr:rowOff>
    </xdr:from>
    <xdr:to>
      <xdr:col>13</xdr:col>
      <xdr:colOff>400050</xdr:colOff>
      <xdr:row>1565</xdr:row>
      <xdr:rowOff>57150</xdr:rowOff>
    </xdr:to>
    <xdr:sp>
      <xdr:nvSpPr>
        <xdr:cNvPr id="61" name="Rectangle 71"/>
        <xdr:cNvSpPr>
          <a:spLocks/>
        </xdr:cNvSpPr>
      </xdr:nvSpPr>
      <xdr:spPr>
        <a:xfrm>
          <a:off x="485775" y="227561775"/>
          <a:ext cx="6600825" cy="18573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6. Capacità economico-finanziaria</a:t>
          </a:r>
          <a:r>
            <a:rPr lang="en-US" cap="none" sz="900" b="0" i="0" u="none" baseline="0"/>
            <a:t>
Disporre delle risorse finanziarie necessarie per l’acquisto e l’utilizzo del prodotto senza troppo sacrificare altri consumi è ovviamente indispensabile.
</a:t>
          </a:r>
          <a:r>
            <a:rPr lang="en-US" cap="none" sz="900" b="1" i="0" u="none" baseline="0"/>
            <a:t>Il livello minimo di risorse percepito come sufficiente</a:t>
          </a:r>
          <a:r>
            <a:rPr lang="en-US" cap="none" sz="900" b="0" i="0" u="none" baseline="0"/>
            <a:t> per l’acquisto e il consumo </a:t>
          </a:r>
          <a:r>
            <a:rPr lang="en-US" cap="none" sz="900" b="1" i="0" u="none" baseline="0"/>
            <a:t>non è evidentemente uguale per tutti i target</a:t>
          </a:r>
          <a:r>
            <a:rPr lang="en-US" cap="none" sz="900" b="0" i="0" u="none" baseline="0"/>
            <a:t>, ed è indirettamente proporzionale all’entità del bisogno percepito: a parità di reddito (o di risorse aziendali nei settori B2B) può quindi essere diverso il grado di disponibilità ad acquistare determinati prodotti.
</a:t>
          </a:r>
          <a:r>
            <a:rPr lang="en-US" cap="none" sz="900" b="0" i="0" u="none" baseline="0">
              <a:latin typeface="Tahoma"/>
              <a:ea typeface="Tahoma"/>
              <a:cs typeface="Tahoma"/>
            </a:rPr>
            <a:t>
</a:t>
          </a:r>
        </a:p>
      </xdr:txBody>
    </xdr:sp>
    <xdr:clientData/>
  </xdr:twoCellAnchor>
  <xdr:twoCellAnchor>
    <xdr:from>
      <xdr:col>0</xdr:col>
      <xdr:colOff>485775</xdr:colOff>
      <xdr:row>1603</xdr:row>
      <xdr:rowOff>28575</xdr:rowOff>
    </xdr:from>
    <xdr:to>
      <xdr:col>13</xdr:col>
      <xdr:colOff>400050</xdr:colOff>
      <xdr:row>1617</xdr:row>
      <xdr:rowOff>57150</xdr:rowOff>
    </xdr:to>
    <xdr:sp>
      <xdr:nvSpPr>
        <xdr:cNvPr id="62" name="Rectangle 72"/>
        <xdr:cNvSpPr>
          <a:spLocks/>
        </xdr:cNvSpPr>
      </xdr:nvSpPr>
      <xdr:spPr>
        <a:xfrm>
          <a:off x="485775" y="234876975"/>
          <a:ext cx="6600825" cy="21621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7. Utilizzatori o consumatori effettivi</a:t>
          </a:r>
          <a:r>
            <a:rPr lang="en-US" cap="none" sz="900" b="0" i="0" u="none" baseline="0"/>
            <a:t>
Le </a:t>
          </a:r>
          <a:r>
            <a:rPr lang="en-US" cap="none" sz="900" b="1" i="0" u="none" baseline="0"/>
            <a:t>caratteristiche </a:t>
          </a:r>
          <a:r>
            <a:rPr lang="en-US" cap="none" sz="900" b="0" i="0" u="none" baseline="0"/>
            <a:t>minime</a:t>
          </a:r>
          <a:r>
            <a:rPr lang="en-US" cap="none" sz="900" b="1" i="0" u="none" baseline="0"/>
            <a:t> di “disponibilità”</a:t>
          </a:r>
          <a:r>
            <a:rPr lang="en-US" cap="none" sz="900" b="0" i="0" u="none" baseline="0"/>
            <a:t>, viste sopra, devono essere tutte presenti perché si possa parlare di mercato “disponibile” a consumare, ma è </a:t>
          </a:r>
          <a:r>
            <a:rPr lang="en-US" cap="none" sz="900" b="1" i="0" u="none" baseline="0"/>
            <a:t>il loro livello, unito alle caratteristiche del processo decisionale</a:t>
          </a:r>
          <a:r>
            <a:rPr lang="en-US" cap="none" sz="900" b="0" i="0" u="none" baseline="0"/>
            <a:t> (più o meno complesso a seconda dei settori) </a:t>
          </a:r>
          <a:r>
            <a:rPr lang="en-US" cap="none" sz="900" b="1" i="0" u="none" baseline="0"/>
            <a:t>che determina l’effettivo comportamento d’acquisto</a:t>
          </a:r>
          <a:r>
            <a:rPr lang="en-US" cap="none" sz="900" b="0" i="0" u="none" baseline="0"/>
            <a:t> entro l’ambito temporale considerato.
In mercati maturi la differenza fra consumatori disponibili e consumatori effettivi è molto contenuta, mentre può essere molto significativa in mercati poco saturati e in forte sviluppo, nei quali, peraltro, gli investimenti di marketing dei fornitori possono contribuire a elevare il grado di conoscenza e accessibilità dei prodotti, espandendo il mercato disponibile che a sua volta “trascina” il mercato effettivo.
</a:t>
          </a:r>
          <a:r>
            <a:rPr lang="en-US" cap="none" sz="900" b="0" i="0" u="none" baseline="0">
              <a:latin typeface="Tahoma"/>
              <a:ea typeface="Tahoma"/>
              <a:cs typeface="Tahoma"/>
            </a:rPr>
            <a:t>
</a:t>
          </a:r>
        </a:p>
      </xdr:txBody>
    </xdr:sp>
    <xdr:clientData/>
  </xdr:twoCellAnchor>
  <xdr:twoCellAnchor>
    <xdr:from>
      <xdr:col>0</xdr:col>
      <xdr:colOff>485775</xdr:colOff>
      <xdr:row>1653</xdr:row>
      <xdr:rowOff>28575</xdr:rowOff>
    </xdr:from>
    <xdr:to>
      <xdr:col>13</xdr:col>
      <xdr:colOff>400050</xdr:colOff>
      <xdr:row>1666</xdr:row>
      <xdr:rowOff>57150</xdr:rowOff>
    </xdr:to>
    <xdr:sp>
      <xdr:nvSpPr>
        <xdr:cNvPr id="63" name="Rectangle 73"/>
        <xdr:cNvSpPr>
          <a:spLocks/>
        </xdr:cNvSpPr>
      </xdr:nvSpPr>
      <xdr:spPr>
        <a:xfrm>
          <a:off x="485775" y="242211225"/>
          <a:ext cx="6600825" cy="20097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8. Consumo pro-capite degli utilizzatori effettivi</a:t>
          </a:r>
          <a:r>
            <a:rPr lang="en-US" cap="none" sz="900" b="0" i="0" u="none" baseline="0"/>
            <a:t>
Insieme alla stima effettuata precedentemente sul numero di consumatori, l’entità del consumo medio pro-capite darà la dimensione del mercato effettivo nell’ambito del paese, dell’eventuale area di interesse e del segmento considerato.
Anche questa variabile è fortemente correlata al grado di sviluppo del mercato e al livello di presenza di gran parte delle caratteristiche di “disponibilità”: in particolare, l’entità del bisogno percepito e l’assenza di eventuali barriere psicologico-emotive al suo consumo, il grado di conoscenza delle caratteristiche del prodotto, il grado di accessibilità dello stesso, ecc.
</a:t>
          </a:r>
          <a:r>
            <a:rPr lang="en-US" cap="none" sz="900" b="0" i="0" u="none" baseline="0">
              <a:latin typeface="Tahoma"/>
              <a:ea typeface="Tahoma"/>
              <a:cs typeface="Tahoma"/>
            </a:rPr>
            <a:t>
</a:t>
          </a:r>
        </a:p>
      </xdr:txBody>
    </xdr:sp>
    <xdr:clientData/>
  </xdr:twoCellAnchor>
  <xdr:twoCellAnchor>
    <xdr:from>
      <xdr:col>0</xdr:col>
      <xdr:colOff>485775</xdr:colOff>
      <xdr:row>1703</xdr:row>
      <xdr:rowOff>28575</xdr:rowOff>
    </xdr:from>
    <xdr:to>
      <xdr:col>13</xdr:col>
      <xdr:colOff>400050</xdr:colOff>
      <xdr:row>1716</xdr:row>
      <xdr:rowOff>57150</xdr:rowOff>
    </xdr:to>
    <xdr:sp>
      <xdr:nvSpPr>
        <xdr:cNvPr id="64" name="Rectangle 74"/>
        <xdr:cNvSpPr>
          <a:spLocks/>
        </xdr:cNvSpPr>
      </xdr:nvSpPr>
      <xdr:spPr>
        <a:xfrm>
          <a:off x="485775" y="249535950"/>
          <a:ext cx="6600825" cy="20097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9. Consumatori o utilizzatori raggiungibili dall'azienda ("pertinenti")</a:t>
          </a:r>
          <a:r>
            <a:rPr lang="en-US" cap="none" sz="900" b="0" i="0" u="none" baseline="0"/>
            <a:t>
Questa stima è fondamentale per valutare la dimensione del “</a:t>
          </a:r>
          <a:r>
            <a:rPr lang="en-US" cap="none" sz="900" b="1" i="1" u="none" baseline="0">
              <a:solidFill>
                <a:srgbClr val="960E11"/>
              </a:solidFill>
            </a:rPr>
            <a:t>mercato pertinente</a:t>
          </a:r>
          <a:r>
            <a:rPr lang="en-US" cap="none" sz="900" b="0" i="0" u="none" baseline="0"/>
            <a:t>”, che è, di fatto, la sola grandezza rilevante ai fini della conquista di posizioni di mercato. La logica è simile a quella proposta nella parte C del modello </a:t>
          </a:r>
          <a:r>
            <a:rPr lang="en-US" cap="none" sz="900" b="1" i="0" u="none" baseline="0">
              <a:solidFill>
                <a:srgbClr val="960E11"/>
              </a:solidFill>
            </a:rPr>
            <a:t>[bottom-up]</a:t>
          </a:r>
          <a:r>
            <a:rPr lang="en-US" cap="none" sz="900" b="0" i="0" u="none" baseline="0"/>
            <a:t>.
L’azienda può prevedere di raggiungere il proprio target </a:t>
          </a:r>
          <a:r>
            <a:rPr lang="en-US" cap="none" sz="900" b="1" i="0" u="none" baseline="0"/>
            <a:t>direttamente, oppure indirettamente</a:t>
          </a:r>
          <a:r>
            <a:rPr lang="en-US" cap="none" sz="900" b="0" i="0" u="none" baseline="0"/>
            <a:t> attraverso intermediari: in quest’ultimo caso, sarà importante valutare in quale misura i distributori “coprano” il mercato finale effettivo precedentemente stimato.
</a:t>
          </a:r>
          <a:r>
            <a:rPr lang="en-US" cap="none" sz="900" b="0" i="0" u="none" baseline="0">
              <a:latin typeface="Tahoma"/>
              <a:ea typeface="Tahoma"/>
              <a:cs typeface="Tahoma"/>
            </a:rPr>
            <a:t>
</a:t>
          </a:r>
        </a:p>
      </xdr:txBody>
    </xdr:sp>
    <xdr:clientData/>
  </xdr:twoCellAnchor>
  <xdr:twoCellAnchor>
    <xdr:from>
      <xdr:col>0</xdr:col>
      <xdr:colOff>485775</xdr:colOff>
      <xdr:row>1753</xdr:row>
      <xdr:rowOff>28575</xdr:rowOff>
    </xdr:from>
    <xdr:to>
      <xdr:col>13</xdr:col>
      <xdr:colOff>400050</xdr:colOff>
      <xdr:row>1764</xdr:row>
      <xdr:rowOff>57150</xdr:rowOff>
    </xdr:to>
    <xdr:sp>
      <xdr:nvSpPr>
        <xdr:cNvPr id="65" name="Rectangle 75"/>
        <xdr:cNvSpPr>
          <a:spLocks/>
        </xdr:cNvSpPr>
      </xdr:nvSpPr>
      <xdr:spPr>
        <a:xfrm>
          <a:off x="485775" y="256860675"/>
          <a:ext cx="6600825" cy="17049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10. Consumi pro-capite degli utilizzatori "pertinenti"</a:t>
          </a:r>
          <a:r>
            <a:rPr lang="en-US" cap="none" sz="900" b="0" i="0" u="none" baseline="0"/>
            <a:t>
In funzione dello specifico target previsto, è possibile che i consumi pro-capite degli utilizzatori direttamente o indirettamente raggiungibili siano più o meno elevati rispetto a quelli medi degli utilizzatori “effettivi”: anche a questo proposito, è quindi utile una riflessione sulla capacità dell’azienda di entrare in contatto selettivamente con una parte del mercato effettivo contraddistinta da caratteristiche relativamente diverse rispetto alla media.
</a:t>
          </a:r>
          <a:r>
            <a:rPr lang="en-US" cap="none" sz="900" b="0" i="0" u="none" baseline="0">
              <a:latin typeface="Tahoma"/>
              <a:ea typeface="Tahoma"/>
              <a:cs typeface="Tahoma"/>
            </a:rPr>
            <a:t>
</a:t>
          </a:r>
        </a:p>
      </xdr:txBody>
    </xdr:sp>
    <xdr:clientData/>
  </xdr:twoCellAnchor>
  <xdr:twoCellAnchor>
    <xdr:from>
      <xdr:col>0</xdr:col>
      <xdr:colOff>485775</xdr:colOff>
      <xdr:row>1803</xdr:row>
      <xdr:rowOff>28575</xdr:rowOff>
    </xdr:from>
    <xdr:to>
      <xdr:col>13</xdr:col>
      <xdr:colOff>400050</xdr:colOff>
      <xdr:row>1818</xdr:row>
      <xdr:rowOff>57150</xdr:rowOff>
    </xdr:to>
    <xdr:sp>
      <xdr:nvSpPr>
        <xdr:cNvPr id="66" name="Rectangle 76"/>
        <xdr:cNvSpPr>
          <a:spLocks/>
        </xdr:cNvSpPr>
      </xdr:nvSpPr>
      <xdr:spPr>
        <a:xfrm>
          <a:off x="485775" y="264166350"/>
          <a:ext cx="6600825" cy="231457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Riepilogo
</a:t>
          </a:r>
          <a:r>
            <a:rPr lang="en-US" cap="none" sz="900" b="1" i="1" u="none" baseline="0">
              <a:solidFill>
                <a:srgbClr val="960E11"/>
              </a:solidFill>
            </a:rPr>
            <a:t>i.</a:t>
          </a:r>
          <a:r>
            <a:rPr lang="en-US" cap="none" sz="900" b="1" i="0" u="none" baseline="0">
              <a:solidFill>
                <a:srgbClr val="960E11"/>
              </a:solidFill>
            </a:rPr>
            <a:t> Informazioni aggiuntive</a:t>
          </a:r>
          <a:r>
            <a:rPr lang="en-US" cap="none" sz="900" b="0" i="0" u="none" baseline="0"/>
            <a:t>
Se è stato utilizzato più di un modello, il riepilogo propone un confronto fra i diversi risultati ottenuti: mentre il mercato cosiddetto “effettivo” può essere stimato in tre modi diversi, la stima del mercato “pertinente” è tecnicamente consentita, con questo strumento, soltanto da due modelli.
È molto probabile che vi sia uno “scarto” significativo fra le diverse stime (scostamento quadratico medio, che misura quanto, mediamente, le stime si discostano dalla loro media): se il rapporto fra tale scarto e la media delle stime (“coefficiente di variazione”) è molto elevato (indicativamente, oltre il 50%), è opportuno riflettere sulla congruenza delle ipotesi alla base delle diverse proiezioni e cercare di individuare le ragioni degli scostamenti al fine di pervenire a una stima “mediamente” più accettabile.
</a:t>
          </a:r>
          <a:r>
            <a:rPr lang="en-US" cap="none" sz="900" b="0" i="0" u="none" baseline="0">
              <a:latin typeface="Tahoma"/>
              <a:ea typeface="Tahoma"/>
              <a:cs typeface="Tahoma"/>
            </a:rPr>
            <a:t>
</a:t>
          </a:r>
        </a:p>
      </xdr:txBody>
    </xdr:sp>
    <xdr:clientData/>
  </xdr:twoCellAnchor>
  <xdr:twoCellAnchor>
    <xdr:from>
      <xdr:col>0</xdr:col>
      <xdr:colOff>485775</xdr:colOff>
      <xdr:row>1351</xdr:row>
      <xdr:rowOff>28575</xdr:rowOff>
    </xdr:from>
    <xdr:to>
      <xdr:col>13</xdr:col>
      <xdr:colOff>400050</xdr:colOff>
      <xdr:row>1362</xdr:row>
      <xdr:rowOff>142875</xdr:rowOff>
    </xdr:to>
    <xdr:sp>
      <xdr:nvSpPr>
        <xdr:cNvPr id="67" name="Rectangle 77"/>
        <xdr:cNvSpPr>
          <a:spLocks/>
        </xdr:cNvSpPr>
      </xdr:nvSpPr>
      <xdr:spPr>
        <a:xfrm>
          <a:off x="485775" y="198139050"/>
          <a:ext cx="6600825" cy="172402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sz="900" b="1" i="0" u="none" baseline="0">
              <a:solidFill>
                <a:srgbClr val="960E11"/>
              </a:solidFill>
            </a:rPr>
            <a:t>Top-down
2. Grado di conoscenza del prodotto o di prodotti analoghi</a:t>
          </a:r>
          <a:r>
            <a:rPr lang="en-US" cap="none" sz="900" b="0" i="0" u="none" baseline="0"/>
            <a:t>
È uno dei prerequisiti fondamentali perché si possa parlare di mercato “disponibile” ad acquistare e a consumare: trattasi ovviamente del </a:t>
          </a:r>
          <a:r>
            <a:rPr lang="en-US" cap="none" sz="900" b="1" i="0" u="none" baseline="0"/>
            <a:t>prodotto in generale</a:t>
          </a:r>
          <a:r>
            <a:rPr lang="en-US" cap="none" sz="900" b="0" i="0" u="none" baseline="0"/>
            <a:t>, e non di quello specifico dell'azienda interessata.
Soprattutto per prodotti che rappresentano una novità per il mercato (sono in grado di soddisfare nuovi bisogni o di soddisfare in modo migliore bisogni già consolidati), una conoscenza diffusa dell’esistenza del prodotto non è affatto scontata.
</a:t>
          </a:r>
          <a:r>
            <a:rPr lang="en-US" cap="none" sz="900" b="0" i="0" u="none" baseline="0">
              <a:latin typeface="Tahoma"/>
              <a:ea typeface="Tahoma"/>
              <a:cs typeface="Tahom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kets_tool_all_ABC_050907\markets_tool_almost_last_release\C_benchmark\markets_to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kets_tool_all_ABC_050907\markets_tool_almost_last_release\B_bottom_up\B_bottom_up_draft_3_050821_g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_home"/>
      <sheetName val="top_down"/>
      <sheetName val="bottom_up"/>
      <sheetName val="benchmark_2"/>
      <sheetName val="help"/>
    </sheetNames>
    <definedNames>
      <definedName name="Apri_Sottosezione_1"/>
      <definedName name="Apri_Sottosezione_10"/>
      <definedName name="Apri_Sottosezione_11"/>
      <definedName name="Apri_Sottosezione_12"/>
      <definedName name="Apri_Sottosezione_13"/>
      <definedName name="Apri_Sottosezione_14"/>
      <definedName name="Apri_Sottosezione_15"/>
      <definedName name="Apri_Sottosezione_16"/>
      <definedName name="Apri_Sottosezione_17"/>
      <definedName name="Apri_Sottosezione_18"/>
      <definedName name="Apri_Sottosezione_19"/>
      <definedName name="Apri_Sottosezione_2"/>
      <definedName name="Apri_Sottosezione_20"/>
      <definedName name="Apri_Sottosezione_21"/>
      <definedName name="Apri_Sottosezione_22"/>
      <definedName name="Apri_Sottosezione_23"/>
      <definedName name="Apri_Sottosezione_24"/>
      <definedName name="Apri_Sottosezione_25"/>
      <definedName name="Apri_Sottosezione_3"/>
      <definedName name="Apri_Sottosezione_4"/>
      <definedName name="Apri_Sottosezione_5"/>
      <definedName name="Apri_Sottosezione_6"/>
      <definedName name="Apri_Sottosezione_7"/>
      <definedName name="Apri_Sottosezione_8"/>
      <definedName name="Apri_Sottosezione_9"/>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emplate (2)"/>
      <sheetName val="home"/>
      <sheetName val="Grafico1"/>
      <sheetName val="home (2)"/>
      <sheetName val="help"/>
      <sheetName val="grafici"/>
    </sheetNames>
    <definedNames>
      <definedName name="Apri_Sottosezione_1"/>
      <definedName name="Apri_Sottosezione_10"/>
      <definedName name="Apri_Sottosezione_11"/>
      <definedName name="Apri_Sottosezione_12"/>
      <definedName name="Apri_Sottosezione_13"/>
      <definedName name="Apri_Sottosezione_14"/>
      <definedName name="Apri_Sottosezione_15"/>
      <definedName name="Apri_Sottosezione_16"/>
      <definedName name="Apri_Sottosezione_17"/>
      <definedName name="Apri_Sottosezione_18"/>
      <definedName name="Apri_Sottosezione_19"/>
      <definedName name="Apri_Sottosezione_2"/>
      <definedName name="Apri_Sottosezione_20"/>
      <definedName name="Apri_Sottosezione_21"/>
      <definedName name="Apri_Sottosezione_22"/>
      <definedName name="Apri_Sottosezione_23"/>
      <definedName name="Apri_Sottosezione_24"/>
      <definedName name="Apri_Sottosezione_25"/>
      <definedName name="Apri_Sottosezione_3"/>
      <definedName name="Apri_Sottosezione_4"/>
      <definedName name="Apri_Sottosezione_5"/>
      <definedName name="Apri_Sottosezione_6"/>
      <definedName name="Apri_Sottosezione_7"/>
      <definedName name="Apri_Sottosezione_8"/>
      <definedName name="Apri_Sottosezione_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stplan.it/"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5">
    <pageSetUpPr fitToPage="1"/>
  </sheetPr>
  <dimension ref="A1:W56"/>
  <sheetViews>
    <sheetView showGridLines="0" showRowColHeaders="0" tabSelected="1" workbookViewId="0" topLeftCell="A1">
      <selection activeCell="A1" sqref="A1"/>
    </sheetView>
  </sheetViews>
  <sheetFormatPr defaultColWidth="9.140625" defaultRowHeight="11.25"/>
  <cols>
    <col min="1" max="1" width="2.57421875" style="12" customWidth="1"/>
    <col min="2" max="17" width="4.7109375" style="12" customWidth="1"/>
    <col min="18" max="18" width="6.28125" style="12" customWidth="1"/>
    <col min="19" max="20" width="4.7109375" style="12" customWidth="1"/>
    <col min="21" max="21" width="3.7109375" style="12" customWidth="1"/>
    <col min="22" max="22" width="5.00390625" style="12" customWidth="1"/>
    <col min="23" max="24" width="4.7109375" style="12" customWidth="1"/>
    <col min="25" max="16384" width="9.140625" style="12" customWidth="1"/>
  </cols>
  <sheetData>
    <row r="1" spans="8:19" ht="60" customHeight="1">
      <c r="H1" s="13"/>
      <c r="I1" s="13"/>
      <c r="J1" s="13"/>
      <c r="K1" s="13"/>
      <c r="L1" s="13"/>
      <c r="M1" s="13"/>
      <c r="N1" s="13"/>
      <c r="O1" s="13"/>
      <c r="P1" s="13"/>
      <c r="Q1" s="13"/>
      <c r="R1" s="13"/>
      <c r="S1" s="13"/>
    </row>
    <row r="2" spans="2:23" ht="10.5" customHeight="1">
      <c r="B2" s="296" t="s">
        <v>184</v>
      </c>
      <c r="C2" s="297"/>
      <c r="D2" s="297"/>
      <c r="E2" s="297"/>
      <c r="F2" s="297"/>
      <c r="G2" s="297"/>
      <c r="H2" s="297"/>
      <c r="I2" s="297"/>
      <c r="J2" s="297"/>
      <c r="K2" s="297"/>
      <c r="L2" s="297"/>
      <c r="M2" s="297"/>
      <c r="N2" s="297"/>
      <c r="O2" s="297"/>
      <c r="P2" s="297"/>
      <c r="Q2" s="297"/>
      <c r="R2" s="297"/>
      <c r="S2" s="297"/>
      <c r="T2" s="297"/>
      <c r="U2" s="297"/>
      <c r="V2" s="297"/>
      <c r="W2" s="297"/>
    </row>
    <row r="3" spans="2:23" ht="11.25">
      <c r="B3" s="297"/>
      <c r="C3" s="297"/>
      <c r="D3" s="297"/>
      <c r="E3" s="297"/>
      <c r="F3" s="297"/>
      <c r="G3" s="297"/>
      <c r="H3" s="297"/>
      <c r="I3" s="297"/>
      <c r="J3" s="297"/>
      <c r="K3" s="297"/>
      <c r="L3" s="297"/>
      <c r="M3" s="297"/>
      <c r="N3" s="297"/>
      <c r="O3" s="297"/>
      <c r="P3" s="297"/>
      <c r="Q3" s="297"/>
      <c r="R3" s="297"/>
      <c r="S3" s="297"/>
      <c r="T3" s="297"/>
      <c r="U3" s="297"/>
      <c r="V3" s="297"/>
      <c r="W3" s="297"/>
    </row>
    <row r="4" spans="2:23" ht="10.5" customHeight="1">
      <c r="B4" s="297"/>
      <c r="C4" s="297"/>
      <c r="D4" s="297"/>
      <c r="E4" s="297"/>
      <c r="F4" s="297"/>
      <c r="G4" s="297"/>
      <c r="H4" s="297"/>
      <c r="I4" s="297"/>
      <c r="J4" s="297"/>
      <c r="K4" s="297"/>
      <c r="L4" s="297"/>
      <c r="M4" s="297"/>
      <c r="N4" s="297"/>
      <c r="O4" s="297"/>
      <c r="P4" s="297"/>
      <c r="Q4" s="297"/>
      <c r="R4" s="297"/>
      <c r="S4" s="297"/>
      <c r="T4" s="297"/>
      <c r="U4" s="297"/>
      <c r="V4" s="297"/>
      <c r="W4" s="297"/>
    </row>
    <row r="5" spans="2:23" ht="11.25">
      <c r="B5" s="297"/>
      <c r="C5" s="297"/>
      <c r="D5" s="297"/>
      <c r="E5" s="297"/>
      <c r="F5" s="297"/>
      <c r="G5" s="297"/>
      <c r="H5" s="297"/>
      <c r="I5" s="297"/>
      <c r="J5" s="297"/>
      <c r="K5" s="297"/>
      <c r="L5" s="297"/>
      <c r="M5" s="297"/>
      <c r="N5" s="297"/>
      <c r="O5" s="297"/>
      <c r="P5" s="297"/>
      <c r="Q5" s="297"/>
      <c r="R5" s="297"/>
      <c r="S5" s="297"/>
      <c r="T5" s="297"/>
      <c r="U5" s="297"/>
      <c r="V5" s="297"/>
      <c r="W5" s="297"/>
    </row>
    <row r="6" spans="2:23" ht="12">
      <c r="B6" s="37"/>
      <c r="C6" s="37"/>
      <c r="D6" s="37"/>
      <c r="E6" s="37"/>
      <c r="F6" s="37"/>
      <c r="G6" s="37"/>
      <c r="H6" s="37"/>
      <c r="I6" s="37"/>
      <c r="J6" s="37"/>
      <c r="K6" s="37"/>
      <c r="L6" s="37"/>
      <c r="M6" s="37"/>
      <c r="N6" s="37"/>
      <c r="O6" s="37"/>
      <c r="P6" s="37"/>
      <c r="Q6" s="37"/>
      <c r="R6" s="37"/>
      <c r="S6" s="37"/>
      <c r="T6" s="37"/>
      <c r="U6" s="37"/>
      <c r="V6" s="37"/>
      <c r="W6" s="37"/>
    </row>
    <row r="7" spans="2:23" ht="11.25">
      <c r="B7" s="296" t="s">
        <v>194</v>
      </c>
      <c r="C7" s="297"/>
      <c r="D7" s="297"/>
      <c r="E7" s="297"/>
      <c r="F7" s="297"/>
      <c r="G7" s="297"/>
      <c r="H7" s="297"/>
      <c r="I7" s="297"/>
      <c r="J7" s="297"/>
      <c r="K7" s="297"/>
      <c r="L7" s="297"/>
      <c r="M7" s="297"/>
      <c r="N7" s="297"/>
      <c r="O7" s="297"/>
      <c r="P7" s="297"/>
      <c r="Q7" s="297"/>
      <c r="R7" s="297"/>
      <c r="S7" s="297"/>
      <c r="T7" s="297"/>
      <c r="U7" s="297"/>
      <c r="V7" s="297"/>
      <c r="W7" s="297"/>
    </row>
    <row r="8" spans="2:23" ht="11.25">
      <c r="B8" s="297"/>
      <c r="C8" s="297"/>
      <c r="D8" s="297"/>
      <c r="E8" s="297"/>
      <c r="F8" s="297"/>
      <c r="G8" s="297"/>
      <c r="H8" s="297"/>
      <c r="I8" s="297"/>
      <c r="J8" s="297"/>
      <c r="K8" s="297"/>
      <c r="L8" s="297"/>
      <c r="M8" s="297"/>
      <c r="N8" s="297"/>
      <c r="O8" s="297"/>
      <c r="P8" s="297"/>
      <c r="Q8" s="297"/>
      <c r="R8" s="297"/>
      <c r="S8" s="297"/>
      <c r="T8" s="297"/>
      <c r="U8" s="297"/>
      <c r="V8" s="297"/>
      <c r="W8" s="297"/>
    </row>
    <row r="9" spans="2:23" ht="11.25">
      <c r="B9" s="297"/>
      <c r="C9" s="297"/>
      <c r="D9" s="297"/>
      <c r="E9" s="297"/>
      <c r="F9" s="297"/>
      <c r="G9" s="297"/>
      <c r="H9" s="297"/>
      <c r="I9" s="297"/>
      <c r="J9" s="297"/>
      <c r="K9" s="297"/>
      <c r="L9" s="297"/>
      <c r="M9" s="297"/>
      <c r="N9" s="297"/>
      <c r="O9" s="297"/>
      <c r="P9" s="297"/>
      <c r="Q9" s="297"/>
      <c r="R9" s="297"/>
      <c r="S9" s="297"/>
      <c r="T9" s="297"/>
      <c r="U9" s="297"/>
      <c r="V9" s="297"/>
      <c r="W9" s="297"/>
    </row>
    <row r="10" spans="2:23" ht="11.25">
      <c r="B10" s="297"/>
      <c r="C10" s="297"/>
      <c r="D10" s="297"/>
      <c r="E10" s="297"/>
      <c r="F10" s="297"/>
      <c r="G10" s="297"/>
      <c r="H10" s="297"/>
      <c r="I10" s="297"/>
      <c r="J10" s="297"/>
      <c r="K10" s="297"/>
      <c r="L10" s="297"/>
      <c r="M10" s="297"/>
      <c r="N10" s="297"/>
      <c r="O10" s="297"/>
      <c r="P10" s="297"/>
      <c r="Q10" s="297"/>
      <c r="R10" s="297"/>
      <c r="S10" s="297"/>
      <c r="T10" s="297"/>
      <c r="U10" s="297"/>
      <c r="V10" s="297"/>
      <c r="W10" s="297"/>
    </row>
    <row r="11" spans="2:23" ht="11.25">
      <c r="B11" s="297"/>
      <c r="C11" s="297"/>
      <c r="D11" s="297"/>
      <c r="E11" s="297"/>
      <c r="F11" s="297"/>
      <c r="G11" s="297"/>
      <c r="H11" s="297"/>
      <c r="I11" s="297"/>
      <c r="J11" s="297"/>
      <c r="K11" s="297"/>
      <c r="L11" s="297"/>
      <c r="M11" s="297"/>
      <c r="N11" s="297"/>
      <c r="O11" s="297"/>
      <c r="P11" s="297"/>
      <c r="Q11" s="297"/>
      <c r="R11" s="297"/>
      <c r="S11" s="297"/>
      <c r="T11" s="297"/>
      <c r="U11" s="297"/>
      <c r="V11" s="297"/>
      <c r="W11" s="297"/>
    </row>
    <row r="12" ht="11.25">
      <c r="B12" s="148"/>
    </row>
    <row r="13" ht="11.25">
      <c r="B13" s="34" t="s">
        <v>179</v>
      </c>
    </row>
    <row r="14" ht="11.25">
      <c r="B14" s="148"/>
    </row>
    <row r="15" ht="11.25">
      <c r="B15" s="148"/>
    </row>
    <row r="16" ht="11.25">
      <c r="B16" s="148"/>
    </row>
    <row r="17" ht="11.25">
      <c r="B17" s="148"/>
    </row>
    <row r="18" ht="11.25">
      <c r="B18" s="148"/>
    </row>
    <row r="19" ht="11.25">
      <c r="B19" s="148"/>
    </row>
    <row r="20" ht="11.25">
      <c r="B20" s="148"/>
    </row>
    <row r="21" ht="11.25">
      <c r="B21" s="148"/>
    </row>
    <row r="22" spans="13:23" ht="12">
      <c r="M22" s="1"/>
      <c r="N22" s="1"/>
      <c r="O22" s="1"/>
      <c r="P22" s="1"/>
      <c r="Q22" s="1"/>
      <c r="R22" s="1"/>
      <c r="S22" s="1"/>
      <c r="T22" s="1"/>
      <c r="U22" s="1"/>
      <c r="V22" s="1"/>
      <c r="W22" s="1"/>
    </row>
    <row r="23" spans="2:23" ht="202.5">
      <c r="B23" s="303" t="s">
        <v>180</v>
      </c>
      <c r="C23" s="297"/>
      <c r="D23" s="297"/>
      <c r="E23" s="297"/>
      <c r="F23" s="297"/>
      <c r="G23" s="297"/>
      <c r="H23" s="297"/>
      <c r="I23" s="297"/>
      <c r="J23" s="297"/>
      <c r="K23" s="297"/>
      <c r="L23" s="297"/>
      <c r="M23" s="1"/>
      <c r="N23" s="1"/>
      <c r="O23" s="1"/>
      <c r="P23" s="1"/>
      <c r="Q23" s="1"/>
      <c r="R23" s="1"/>
      <c r="S23" s="1"/>
      <c r="T23" s="1"/>
      <c r="U23" s="1"/>
      <c r="V23" s="1"/>
      <c r="W23" s="1"/>
    </row>
    <row r="24" spans="2:23" ht="12">
      <c r="B24" s="297"/>
      <c r="C24" s="297"/>
      <c r="D24" s="297"/>
      <c r="E24" s="297"/>
      <c r="F24" s="297"/>
      <c r="G24" s="297"/>
      <c r="H24" s="297"/>
      <c r="I24" s="297"/>
      <c r="J24" s="297"/>
      <c r="K24" s="297"/>
      <c r="L24" s="297"/>
      <c r="M24" s="1"/>
      <c r="N24" s="1"/>
      <c r="O24" s="1"/>
      <c r="P24" s="1"/>
      <c r="Q24" s="1"/>
      <c r="R24" s="1"/>
      <c r="S24" s="1"/>
      <c r="T24" s="1"/>
      <c r="U24" s="1"/>
      <c r="V24" s="1"/>
      <c r="W24" s="1"/>
    </row>
    <row r="25" spans="2:23" ht="11.25">
      <c r="B25" s="296" t="s">
        <v>185</v>
      </c>
      <c r="C25" s="303"/>
      <c r="D25" s="303"/>
      <c r="E25" s="303"/>
      <c r="F25" s="303"/>
      <c r="G25" s="303"/>
      <c r="H25" s="303"/>
      <c r="I25" s="303"/>
      <c r="J25" s="303"/>
      <c r="K25" s="303"/>
      <c r="L25" s="303"/>
      <c r="M25" s="303"/>
      <c r="N25" s="303"/>
      <c r="O25" s="303"/>
      <c r="P25" s="303"/>
      <c r="Q25" s="303"/>
      <c r="R25" s="303"/>
      <c r="S25" s="303"/>
      <c r="T25" s="303"/>
      <c r="U25" s="303"/>
      <c r="V25" s="303"/>
      <c r="W25" s="303"/>
    </row>
    <row r="26" spans="2:23" ht="11.25">
      <c r="B26" s="303"/>
      <c r="C26" s="303"/>
      <c r="D26" s="303"/>
      <c r="E26" s="303"/>
      <c r="F26" s="303"/>
      <c r="G26" s="303"/>
      <c r="H26" s="303"/>
      <c r="I26" s="303"/>
      <c r="J26" s="303"/>
      <c r="K26" s="303"/>
      <c r="L26" s="303"/>
      <c r="M26" s="303"/>
      <c r="N26" s="303"/>
      <c r="O26" s="303"/>
      <c r="P26" s="303"/>
      <c r="Q26" s="303"/>
      <c r="R26" s="303"/>
      <c r="S26" s="303"/>
      <c r="T26" s="303"/>
      <c r="U26" s="303"/>
      <c r="V26" s="303"/>
      <c r="W26" s="303"/>
    </row>
    <row r="27" spans="2:23" ht="11.25">
      <c r="B27" s="303"/>
      <c r="C27" s="303"/>
      <c r="D27" s="303"/>
      <c r="E27" s="303"/>
      <c r="F27" s="303"/>
      <c r="G27" s="303"/>
      <c r="H27" s="303"/>
      <c r="I27" s="303"/>
      <c r="J27" s="303"/>
      <c r="K27" s="303"/>
      <c r="L27" s="303"/>
      <c r="M27" s="303"/>
      <c r="N27" s="303"/>
      <c r="O27" s="303"/>
      <c r="P27" s="303"/>
      <c r="Q27" s="303"/>
      <c r="R27" s="303"/>
      <c r="S27" s="303"/>
      <c r="T27" s="303"/>
      <c r="U27" s="303"/>
      <c r="V27" s="303"/>
      <c r="W27" s="303"/>
    </row>
    <row r="28" spans="2:23" ht="11.25">
      <c r="B28" s="303"/>
      <c r="C28" s="303"/>
      <c r="D28" s="303"/>
      <c r="E28" s="303"/>
      <c r="F28" s="303"/>
      <c r="G28" s="303"/>
      <c r="H28" s="303"/>
      <c r="I28" s="303"/>
      <c r="J28" s="303"/>
      <c r="K28" s="303"/>
      <c r="L28" s="303"/>
      <c r="M28" s="303"/>
      <c r="N28" s="303"/>
      <c r="O28" s="303"/>
      <c r="P28" s="303"/>
      <c r="Q28" s="303"/>
      <c r="R28" s="303"/>
      <c r="S28" s="303"/>
      <c r="T28" s="303"/>
      <c r="U28" s="303"/>
      <c r="V28" s="303"/>
      <c r="W28" s="303"/>
    </row>
    <row r="29" spans="2:23" ht="281.25">
      <c r="B29" s="296" t="s">
        <v>181</v>
      </c>
      <c r="C29" s="297"/>
      <c r="D29" s="297"/>
      <c r="E29" s="297"/>
      <c r="F29" s="297"/>
      <c r="G29" s="297"/>
      <c r="H29" s="297"/>
      <c r="I29" s="297"/>
      <c r="J29" s="297"/>
      <c r="K29" s="297"/>
      <c r="L29" s="297"/>
      <c r="M29" s="298"/>
      <c r="N29" s="299"/>
      <c r="O29" s="1"/>
      <c r="P29" s="302" t="s">
        <v>164</v>
      </c>
      <c r="Q29" s="302"/>
      <c r="R29" s="1"/>
      <c r="S29" s="1"/>
      <c r="T29" s="1"/>
      <c r="U29" s="1"/>
      <c r="V29" s="1"/>
      <c r="W29" s="1"/>
    </row>
    <row r="30" spans="2:17" ht="15">
      <c r="B30" s="297"/>
      <c r="C30" s="297"/>
      <c r="D30" s="297"/>
      <c r="E30" s="297"/>
      <c r="F30" s="297"/>
      <c r="G30" s="297"/>
      <c r="H30" s="297"/>
      <c r="I30" s="297"/>
      <c r="J30" s="297"/>
      <c r="K30" s="297"/>
      <c r="L30" s="297"/>
      <c r="M30" s="300"/>
      <c r="N30" s="301"/>
      <c r="P30" s="302"/>
      <c r="Q30" s="302"/>
    </row>
    <row r="32" spans="2:23" ht="11.25">
      <c r="B32" s="141"/>
      <c r="C32" s="141"/>
      <c r="D32" s="141"/>
      <c r="E32" s="141"/>
      <c r="F32" s="141"/>
      <c r="G32" s="141"/>
      <c r="H32" s="141"/>
      <c r="I32" s="141"/>
      <c r="J32" s="141"/>
      <c r="K32" s="141"/>
      <c r="L32" s="141"/>
      <c r="M32" s="141"/>
      <c r="N32" s="141"/>
      <c r="O32" s="141"/>
      <c r="P32" s="141"/>
      <c r="Q32" s="141"/>
      <c r="R32" s="141"/>
      <c r="S32" s="141"/>
      <c r="T32" s="141"/>
      <c r="U32" s="141"/>
      <c r="V32" s="141"/>
      <c r="W32" s="141"/>
    </row>
    <row r="33" spans="1:7" ht="17.25" customHeight="1">
      <c r="A33" s="29"/>
      <c r="G33" s="195" t="s">
        <v>290</v>
      </c>
    </row>
    <row r="34" ht="11.25">
      <c r="J34" s="295" t="s">
        <v>291</v>
      </c>
    </row>
    <row r="36" ht="12" customHeight="1"/>
    <row r="53" ht="11.25">
      <c r="L53" s="33"/>
    </row>
    <row r="54" ht="11.25">
      <c r="L54" s="117"/>
    </row>
    <row r="55" ht="11.25">
      <c r="L55" s="117"/>
    </row>
    <row r="56" ht="11.25">
      <c r="L56" s="117"/>
    </row>
  </sheetData>
  <sheetProtection sheet="1" objects="1" scenarios="1"/>
  <mergeCells count="7">
    <mergeCell ref="B29:L30"/>
    <mergeCell ref="M29:N30"/>
    <mergeCell ref="P29:Q30"/>
    <mergeCell ref="B2:W5"/>
    <mergeCell ref="B7:W11"/>
    <mergeCell ref="B23:L24"/>
    <mergeCell ref="B25:W28"/>
  </mergeCells>
  <hyperlinks>
    <hyperlink ref="J34" r:id="rId1" display="www.nestplan.it"/>
  </hyperlinks>
  <printOptions/>
  <pageMargins left="0.3937007874015748" right="0.3937007874015748" top="0.3937007874015748" bottom="0.3937007874015748" header="0.5118110236220472" footer="0.5118110236220472"/>
  <pageSetup fitToHeight="1" fitToWidth="1" horizontalDpi="600" verticalDpi="600" orientation="portrait" paperSize="9" scale="96" r:id="rId5"/>
  <drawing r:id="rId4"/>
  <legacyDrawing r:id="rId3"/>
  <oleObjects>
    <oleObject progId="MSPhotoEd.3" shapeId="341667" r:id="rId2"/>
  </oleObjects>
</worksheet>
</file>

<file path=xl/worksheets/sheet2.xml><?xml version="1.0" encoding="utf-8"?>
<worksheet xmlns="http://schemas.openxmlformats.org/spreadsheetml/2006/main" xmlns:r="http://schemas.openxmlformats.org/officeDocument/2006/relationships">
  <sheetPr codeName="Foglio18">
    <pageSetUpPr fitToPage="1"/>
  </sheetPr>
  <dimension ref="A1:AJ112"/>
  <sheetViews>
    <sheetView showGridLines="0" showRowColHeaders="0" workbookViewId="0" topLeftCell="A1">
      <selection activeCell="A1" sqref="A1"/>
    </sheetView>
  </sheetViews>
  <sheetFormatPr defaultColWidth="9.140625" defaultRowHeight="11.25"/>
  <cols>
    <col min="1" max="1" width="3.7109375" style="1" customWidth="1"/>
    <col min="2" max="2" width="3.28125" style="1" customWidth="1"/>
    <col min="3" max="3" width="12.00390625" style="1" customWidth="1"/>
    <col min="4" max="4" width="21.7109375" style="1" customWidth="1"/>
    <col min="5" max="5" width="15.28125" style="1" customWidth="1"/>
    <col min="6" max="6" width="8.00390625" style="1" customWidth="1"/>
    <col min="7" max="7" width="8.140625" style="1" customWidth="1"/>
    <col min="8" max="10" width="8.7109375" style="1" customWidth="1"/>
    <col min="11" max="11" width="8.8515625" style="1" customWidth="1"/>
    <col min="12" max="20" width="7.7109375" style="1" customWidth="1"/>
    <col min="21" max="23" width="2.7109375" style="1" customWidth="1"/>
    <col min="24" max="27" width="4.7109375" style="1" customWidth="1"/>
    <col min="28" max="28" width="14.28125" style="1" customWidth="1"/>
    <col min="29" max="29" width="5.8515625" style="1" customWidth="1"/>
    <col min="30" max="30" width="10.28125" style="1" customWidth="1"/>
    <col min="31" max="31" width="4.7109375" style="1" customWidth="1"/>
    <col min="32" max="32" width="12.00390625" style="1" customWidth="1"/>
    <col min="33" max="33" width="11.8515625" style="1" customWidth="1"/>
    <col min="34" max="34" width="12.140625" style="1" customWidth="1"/>
    <col min="35" max="45" width="4.7109375" style="1" customWidth="1"/>
    <col min="46" max="16384" width="9.140625" style="1" customWidth="1"/>
  </cols>
  <sheetData>
    <row r="1" spans="9:20" ht="56.25" customHeight="1">
      <c r="I1" s="2"/>
      <c r="J1" s="2"/>
      <c r="K1" s="2"/>
      <c r="L1" s="2"/>
      <c r="M1" s="2"/>
      <c r="N1" s="2"/>
      <c r="O1" s="2"/>
      <c r="P1" s="2"/>
      <c r="Q1" s="2"/>
      <c r="R1" s="2"/>
      <c r="S1" s="2"/>
      <c r="T1" s="2"/>
    </row>
    <row r="2" s="2" customFormat="1" ht="13.5" customHeight="1"/>
    <row r="3" spans="2:11" ht="12" customHeight="1">
      <c r="B3" s="305" t="s">
        <v>154</v>
      </c>
      <c r="C3" s="306"/>
      <c r="D3" s="306"/>
      <c r="E3" s="306"/>
      <c r="F3" s="306"/>
      <c r="G3" s="306"/>
      <c r="H3" s="306"/>
      <c r="I3" s="306"/>
      <c r="J3" s="306"/>
      <c r="K3" s="306"/>
    </row>
    <row r="4" spans="2:11" ht="12" customHeight="1">
      <c r="B4" s="306"/>
      <c r="C4" s="306"/>
      <c r="D4" s="306"/>
      <c r="E4" s="306"/>
      <c r="F4" s="306"/>
      <c r="G4" s="306"/>
      <c r="H4" s="306"/>
      <c r="I4" s="306"/>
      <c r="J4" s="306"/>
      <c r="K4" s="306"/>
    </row>
    <row r="5" ht="12"/>
    <row r="6" spans="1:11" ht="12">
      <c r="A6" s="29"/>
      <c r="B6" s="192" t="s">
        <v>30</v>
      </c>
      <c r="C6" s="312" t="s">
        <v>135</v>
      </c>
      <c r="D6" s="293"/>
      <c r="E6" s="293"/>
      <c r="F6" s="293"/>
      <c r="G6" s="293"/>
      <c r="H6" s="293"/>
      <c r="I6" s="293"/>
      <c r="J6" s="293"/>
      <c r="K6" s="293"/>
    </row>
    <row r="7" spans="3:11" ht="12">
      <c r="C7" s="293"/>
      <c r="D7" s="293"/>
      <c r="E7" s="293"/>
      <c r="F7" s="293"/>
      <c r="G7" s="293"/>
      <c r="H7" s="293"/>
      <c r="I7" s="293"/>
      <c r="J7" s="293"/>
      <c r="K7" s="293"/>
    </row>
    <row r="9" spans="2:11" ht="12">
      <c r="B9" s="145"/>
      <c r="C9" s="145" t="s">
        <v>52</v>
      </c>
      <c r="D9" s="294"/>
      <c r="E9" s="317"/>
      <c r="F9" s="318"/>
      <c r="G9" s="145" t="s">
        <v>59</v>
      </c>
      <c r="I9" s="294"/>
      <c r="J9" s="313"/>
      <c r="K9" s="314"/>
    </row>
    <row r="10" spans="2:8" ht="12">
      <c r="B10" s="145"/>
      <c r="C10" s="145" t="s">
        <v>53</v>
      </c>
      <c r="D10" s="294"/>
      <c r="E10" s="317"/>
      <c r="F10" s="318"/>
      <c r="G10" s="145" t="s">
        <v>136</v>
      </c>
      <c r="H10" s="215"/>
    </row>
    <row r="11" spans="1:11" ht="12">
      <c r="A11" s="12"/>
      <c r="B11" s="12"/>
      <c r="C11" s="12"/>
      <c r="D11" s="12"/>
      <c r="E11" s="12"/>
      <c r="F11" s="12"/>
      <c r="G11" s="12"/>
      <c r="H11" s="12"/>
      <c r="I11" s="12"/>
      <c r="J11" s="12"/>
      <c r="K11" s="12"/>
    </row>
    <row r="12" spans="1:11" ht="12">
      <c r="A12" s="29"/>
      <c r="B12" s="55" t="s">
        <v>32</v>
      </c>
      <c r="C12" s="55" t="s">
        <v>33</v>
      </c>
      <c r="D12" s="55"/>
      <c r="E12" s="161"/>
      <c r="F12" s="12"/>
      <c r="G12" s="98"/>
      <c r="H12" s="98"/>
      <c r="I12" s="98"/>
      <c r="J12" s="98"/>
      <c r="K12" s="98"/>
    </row>
    <row r="13" ht="12">
      <c r="C13" s="8"/>
    </row>
    <row r="14" spans="3:34" ht="12">
      <c r="C14" s="55" t="s">
        <v>81</v>
      </c>
      <c r="F14" s="307" t="s">
        <v>76</v>
      </c>
      <c r="G14" s="308"/>
      <c r="H14" s="309" t="s">
        <v>280</v>
      </c>
      <c r="I14" s="308"/>
      <c r="J14" s="309" t="s">
        <v>79</v>
      </c>
      <c r="K14" s="308"/>
      <c r="AB14" s="33" t="s">
        <v>287</v>
      </c>
      <c r="AC14" s="12"/>
      <c r="AD14" s="12"/>
      <c r="AE14" s="12"/>
      <c r="AF14" s="12"/>
      <c r="AG14" s="12"/>
      <c r="AH14" s="12"/>
    </row>
    <row r="15" spans="6:34" ht="12">
      <c r="F15" s="310" t="s">
        <v>77</v>
      </c>
      <c r="G15" s="311"/>
      <c r="H15" s="310" t="s">
        <v>78</v>
      </c>
      <c r="I15" s="311"/>
      <c r="J15" s="310" t="s">
        <v>80</v>
      </c>
      <c r="K15" s="311"/>
      <c r="AB15" s="12"/>
      <c r="AC15" s="12"/>
      <c r="AD15" s="12"/>
      <c r="AE15" s="12"/>
      <c r="AF15" s="12"/>
      <c r="AG15" s="12"/>
      <c r="AH15" s="12"/>
    </row>
    <row r="16" spans="3:36" ht="12">
      <c r="C16" s="282">
        <f>IF(AB21&gt;0,"",IF(OR(K22&gt;0,K23&gt;0),AB14,""))</f>
      </c>
      <c r="E16" s="216">
        <f>IF(AB21=0,"",AB21)</f>
      </c>
      <c r="F16" s="217">
        <f>IF(AB21=0,"",AF21)</f>
      </c>
      <c r="G16" s="218">
        <f>IF(AB21=0,"",F16/F$17)</f>
      </c>
      <c r="H16" s="273">
        <f>IF(AB21=0,"",AG21)</f>
      </c>
      <c r="I16" s="218">
        <f>IF(AB21=0,"",H16/H$17)</f>
      </c>
      <c r="J16" s="273">
        <f>IF(AB21=0,"",AH21)</f>
      </c>
      <c r="K16" s="218">
        <f>IF(AB21=0,"",J16/J$17)</f>
      </c>
      <c r="AA16" s="2"/>
      <c r="AB16" s="181" t="s">
        <v>87</v>
      </c>
      <c r="AC16" s="13"/>
      <c r="AD16" s="13"/>
      <c r="AE16" s="13"/>
      <c r="AF16" s="13"/>
      <c r="AG16" s="13"/>
      <c r="AH16" s="13"/>
      <c r="AI16" s="2"/>
      <c r="AJ16" s="2"/>
    </row>
    <row r="17" spans="5:34" ht="12">
      <c r="E17" s="216" t="s">
        <v>43</v>
      </c>
      <c r="F17" s="219">
        <f>AF22</f>
        <v>58.1</v>
      </c>
      <c r="G17" s="220">
        <f>F17/F$17</f>
        <v>1</v>
      </c>
      <c r="H17" s="221">
        <f>AG22</f>
        <v>28172</v>
      </c>
      <c r="I17" s="220">
        <f>H17/H$17</f>
        <v>1</v>
      </c>
      <c r="J17" s="221">
        <f>F17*H17/1000</f>
        <v>1636.7931999999998</v>
      </c>
      <c r="K17" s="220">
        <f>J17/J$17</f>
        <v>1</v>
      </c>
      <c r="AB17" s="33"/>
      <c r="AC17" s="12"/>
      <c r="AD17" s="12"/>
      <c r="AE17" s="12"/>
      <c r="AF17" s="12"/>
      <c r="AG17" s="12"/>
      <c r="AH17" s="12"/>
    </row>
    <row r="18" spans="28:34" ht="12">
      <c r="AB18" s="33" t="s">
        <v>195</v>
      </c>
      <c r="AC18" s="12"/>
      <c r="AD18" s="12"/>
      <c r="AE18" s="12"/>
      <c r="AF18" s="12"/>
      <c r="AG18" s="12"/>
      <c r="AH18" s="12"/>
    </row>
    <row r="19" spans="1:34" ht="12">
      <c r="A19" s="29"/>
      <c r="B19" s="55" t="s">
        <v>37</v>
      </c>
      <c r="C19" s="312" t="s">
        <v>82</v>
      </c>
      <c r="D19" s="293"/>
      <c r="E19" s="293"/>
      <c r="F19" s="293"/>
      <c r="G19" s="293"/>
      <c r="H19" s="293"/>
      <c r="I19" s="293"/>
      <c r="J19" s="293"/>
      <c r="K19" s="293"/>
      <c r="AB19" s="12"/>
      <c r="AC19" s="12"/>
      <c r="AD19" s="12"/>
      <c r="AE19" s="12"/>
      <c r="AF19" s="14">
        <f>MATCH(AF20,database!C$3:AA$3,0)</f>
        <v>1</v>
      </c>
      <c r="AG19" s="14">
        <f>MATCH(AG20,database!C$3:AA$3,0)</f>
        <v>2</v>
      </c>
      <c r="AH19" s="14">
        <f>MATCH(AH20,database!C$3:AA$3,0)</f>
        <v>3</v>
      </c>
    </row>
    <row r="20" spans="3:34" ht="12">
      <c r="C20" s="293"/>
      <c r="D20" s="293"/>
      <c r="E20" s="293"/>
      <c r="F20" s="293"/>
      <c r="G20" s="293"/>
      <c r="H20" s="293"/>
      <c r="I20" s="293"/>
      <c r="J20" s="293"/>
      <c r="K20" s="293"/>
      <c r="AB20" s="12"/>
      <c r="AC20" s="12"/>
      <c r="AD20" s="12"/>
      <c r="AE20" s="12"/>
      <c r="AF20" s="33" t="s">
        <v>249</v>
      </c>
      <c r="AG20" s="33" t="s">
        <v>250</v>
      </c>
      <c r="AH20" s="33" t="s">
        <v>281</v>
      </c>
    </row>
    <row r="21" spans="3:34" ht="12">
      <c r="C21" s="312" t="s">
        <v>91</v>
      </c>
      <c r="D21" s="293"/>
      <c r="E21" s="293"/>
      <c r="F21" s="293"/>
      <c r="G21" s="293"/>
      <c r="H21" s="293"/>
      <c r="L21" s="222"/>
      <c r="M21" s="222"/>
      <c r="N21" s="222"/>
      <c r="O21" s="222"/>
      <c r="P21" s="222"/>
      <c r="Q21" s="222"/>
      <c r="R21" s="222"/>
      <c r="S21" s="222"/>
      <c r="T21" s="222"/>
      <c r="AA21" s="223">
        <v>1</v>
      </c>
      <c r="AB21" s="21">
        <f>VLOOKUP(AA21,AE31:AF111,2)</f>
        <v>0</v>
      </c>
      <c r="AC21" s="285" t="str">
        <f>IF(AB21=0,"n.a.",MATCH(AB21,database!B$4:B$84,0))</f>
        <v>n.a.</v>
      </c>
      <c r="AD21" s="12"/>
      <c r="AE21" s="12"/>
      <c r="AF21" s="18" t="str">
        <f>IF($AB21=0,"n.a.",INDEX(database!$C$4:$AA$84,$AC21,AF$19))</f>
        <v>n.a.</v>
      </c>
      <c r="AG21" s="224" t="str">
        <f>IF($AB21=0,"n.a.",INDEX(database!$C$4:$AA$84,$AC21,AG$19))</f>
        <v>n.a.</v>
      </c>
      <c r="AH21" s="224" t="str">
        <f>IF($AB21=0,"n.a.",INDEX(database!$C$4:$AA$84,$AC21,AH$19))</f>
        <v>n.a.</v>
      </c>
    </row>
    <row r="22" spans="3:34" ht="12">
      <c r="C22" s="293"/>
      <c r="D22" s="293"/>
      <c r="E22" s="293"/>
      <c r="F22" s="293"/>
      <c r="G22" s="293"/>
      <c r="H22" s="293"/>
      <c r="J22" s="225" t="s">
        <v>88</v>
      </c>
      <c r="K22" s="226"/>
      <c r="AB22" s="17" t="s">
        <v>31</v>
      </c>
      <c r="AC22" s="12">
        <f>IF(AB22=0,"n.a.",MATCH(AB22,database!B$4:B$84,0))</f>
        <v>81</v>
      </c>
      <c r="AD22" s="12"/>
      <c r="AE22" s="12"/>
      <c r="AF22" s="18">
        <f>IF($AB22=0,"n.a.",INDEX(database!$C$4:$AA$84,$AC22,AF$19))</f>
        <v>58.1</v>
      </c>
      <c r="AG22" s="224">
        <f>IF($AB22=0,"n.a.",INDEX(database!$C$4:$AA$84,$AC22,AG$19))</f>
        <v>28172</v>
      </c>
      <c r="AH22" s="224">
        <f>IF($AB22=0,"n.a.",INDEX(database!$C$4:$AA$84,$AC22,AH$19))</f>
        <v>1680.7</v>
      </c>
    </row>
    <row r="23" spans="3:34" ht="12">
      <c r="C23" s="293"/>
      <c r="D23" s="293"/>
      <c r="E23" s="293"/>
      <c r="F23" s="293"/>
      <c r="G23" s="293"/>
      <c r="H23" s="293"/>
      <c r="J23" s="225" t="s">
        <v>79</v>
      </c>
      <c r="K23" s="226"/>
      <c r="AB23" s="12" t="str">
        <f>J22</f>
        <v>popolaz.</v>
      </c>
      <c r="AC23" s="182">
        <f>K22</f>
        <v>0</v>
      </c>
      <c r="AD23" s="12"/>
      <c r="AE23" s="12"/>
      <c r="AF23" s="12"/>
      <c r="AG23" s="12"/>
      <c r="AH23" s="12"/>
    </row>
    <row r="24" spans="2:34" ht="12.75">
      <c r="B24" s="27"/>
      <c r="C24" s="293"/>
      <c r="D24" s="293"/>
      <c r="E24" s="293"/>
      <c r="F24" s="293"/>
      <c r="G24" s="293"/>
      <c r="H24" s="293"/>
      <c r="J24" s="12"/>
      <c r="AB24" s="12" t="str">
        <f>J23</f>
        <v>PIL</v>
      </c>
      <c r="AC24" s="182">
        <f>K23</f>
        <v>0</v>
      </c>
      <c r="AD24" s="12"/>
      <c r="AE24" s="12"/>
      <c r="AF24" s="12"/>
      <c r="AG24" s="12"/>
      <c r="AH24" s="12"/>
    </row>
    <row r="25" spans="4:34" ht="12">
      <c r="D25" s="282">
        <f>IF(AND(K23&gt;0,K22=0),AB27,"")</f>
      </c>
      <c r="E25" s="282"/>
      <c r="G25" s="282"/>
      <c r="H25" s="282">
        <f>IF(AND(K22&gt;0,K23=0),AB26,"")</f>
      </c>
      <c r="I25" s="282"/>
      <c r="J25" s="282"/>
      <c r="AB25" s="12"/>
      <c r="AC25" s="12"/>
      <c r="AD25" s="12"/>
      <c r="AE25" s="12"/>
      <c r="AF25" s="12"/>
      <c r="AG25" s="12"/>
      <c r="AH25" s="12"/>
    </row>
    <row r="26" spans="3:34" ht="12">
      <c r="C26" s="315">
        <f>IF(AB21=0,"",IF(OR(K23=0,K22=0),"",IF(OR(K23&gt;=1,K22&gt;=1),AB18,AB16)))</f>
      </c>
      <c r="D26" s="316"/>
      <c r="E26" s="316"/>
      <c r="F26" s="316"/>
      <c r="G26" s="316"/>
      <c r="H26" s="316"/>
      <c r="I26" s="172"/>
      <c r="J26" s="225" t="s">
        <v>88</v>
      </c>
      <c r="K26" s="227">
        <f>IF(AB21=0,"",IF(OR(K23=0,K22=0),"",IF(K22&gt;=1,"",K22*G16)))</f>
      </c>
      <c r="AB26" s="33" t="s">
        <v>90</v>
      </c>
      <c r="AC26" s="12"/>
      <c r="AD26" s="12"/>
      <c r="AE26" s="12"/>
      <c r="AF26" s="12"/>
      <c r="AG26" s="12"/>
      <c r="AH26" s="12"/>
    </row>
    <row r="27" spans="3:34" ht="12">
      <c r="C27" s="316"/>
      <c r="D27" s="316"/>
      <c r="E27" s="316"/>
      <c r="F27" s="316"/>
      <c r="G27" s="316"/>
      <c r="H27" s="316"/>
      <c r="J27" s="225" t="s">
        <v>79</v>
      </c>
      <c r="K27" s="227">
        <f>IF(AB21=0,"",IF(OR(K23=0,K22=0),"",IF(K23&gt;=1,"",K23*K16)))</f>
      </c>
      <c r="AB27" s="33" t="s">
        <v>89</v>
      </c>
      <c r="AC27" s="12"/>
      <c r="AD27" s="12"/>
      <c r="AE27" s="12"/>
      <c r="AF27" s="12"/>
      <c r="AG27" s="12"/>
      <c r="AH27" s="12"/>
    </row>
    <row r="28" spans="6:34" ht="12">
      <c r="F28" s="228"/>
      <c r="H28" s="228"/>
      <c r="I28" s="228"/>
      <c r="J28" s="228"/>
      <c r="AB28" s="12"/>
      <c r="AC28" s="12"/>
      <c r="AD28" s="12"/>
      <c r="AE28" s="12"/>
      <c r="AF28" s="12"/>
      <c r="AG28" s="12"/>
      <c r="AH28" s="12"/>
    </row>
    <row r="29" spans="6:34" ht="12">
      <c r="F29" s="304"/>
      <c r="G29" s="229"/>
      <c r="H29" s="228"/>
      <c r="I29" s="304"/>
      <c r="J29" s="230"/>
      <c r="AB29" s="12"/>
      <c r="AC29" s="12"/>
      <c r="AD29" s="12"/>
      <c r="AE29" s="12"/>
      <c r="AF29" s="12"/>
      <c r="AG29" s="12"/>
      <c r="AH29" s="12"/>
    </row>
    <row r="30" spans="6:10" ht="12">
      <c r="F30" s="304"/>
      <c r="H30" s="228"/>
      <c r="I30" s="304"/>
      <c r="J30" s="230"/>
    </row>
    <row r="31" spans="6:32" ht="12">
      <c r="F31" s="228"/>
      <c r="H31" s="228"/>
      <c r="I31" s="228"/>
      <c r="J31" s="228"/>
      <c r="AE31" s="274">
        <v>1</v>
      </c>
      <c r="AF31" s="199"/>
    </row>
    <row r="32" spans="31:32" ht="12">
      <c r="AE32" s="274">
        <v>2</v>
      </c>
      <c r="AF32" s="275" t="s">
        <v>198</v>
      </c>
    </row>
    <row r="33" spans="31:32" ht="12">
      <c r="AE33" s="274">
        <v>3</v>
      </c>
      <c r="AF33" s="275" t="s">
        <v>0</v>
      </c>
    </row>
    <row r="34" spans="31:32" ht="12">
      <c r="AE34" s="274">
        <v>4</v>
      </c>
      <c r="AF34" s="275" t="s">
        <v>1</v>
      </c>
    </row>
    <row r="35" spans="31:32" ht="12">
      <c r="AE35" s="274">
        <v>5</v>
      </c>
      <c r="AF35" s="275" t="s">
        <v>2</v>
      </c>
    </row>
    <row r="36" spans="31:32" ht="12">
      <c r="AE36" s="274">
        <v>6</v>
      </c>
      <c r="AF36" s="275" t="s">
        <v>199</v>
      </c>
    </row>
    <row r="37" spans="31:32" ht="12">
      <c r="AE37" s="274">
        <v>7</v>
      </c>
      <c r="AF37" s="275" t="s">
        <v>200</v>
      </c>
    </row>
    <row r="38" spans="31:32" ht="12">
      <c r="AE38" s="274">
        <v>8</v>
      </c>
      <c r="AF38" s="275" t="s">
        <v>3</v>
      </c>
    </row>
    <row r="39" spans="31:32" ht="12">
      <c r="AE39" s="274">
        <v>9</v>
      </c>
      <c r="AF39" s="275" t="s">
        <v>4</v>
      </c>
    </row>
    <row r="40" spans="31:32" ht="12">
      <c r="AE40" s="274">
        <v>10</v>
      </c>
      <c r="AF40" s="275" t="s">
        <v>201</v>
      </c>
    </row>
    <row r="41" spans="31:32" ht="12">
      <c r="AE41" s="274">
        <v>11</v>
      </c>
      <c r="AF41" s="275" t="s">
        <v>5</v>
      </c>
    </row>
    <row r="42" spans="31:32" ht="12">
      <c r="AE42" s="274">
        <v>12</v>
      </c>
      <c r="AF42" s="275" t="s">
        <v>202</v>
      </c>
    </row>
    <row r="43" spans="31:32" ht="12">
      <c r="AE43" s="274">
        <v>13</v>
      </c>
      <c r="AF43" s="275" t="s">
        <v>6</v>
      </c>
    </row>
    <row r="44" spans="31:32" ht="12">
      <c r="AE44" s="274">
        <v>14</v>
      </c>
      <c r="AF44" s="275" t="s">
        <v>203</v>
      </c>
    </row>
    <row r="45" spans="31:32" ht="12">
      <c r="AE45" s="274">
        <v>15</v>
      </c>
      <c r="AF45" s="275" t="s">
        <v>7</v>
      </c>
    </row>
    <row r="46" spans="31:32" ht="12">
      <c r="AE46" s="274">
        <v>16</v>
      </c>
      <c r="AF46" s="275" t="s">
        <v>204</v>
      </c>
    </row>
    <row r="47" spans="31:32" ht="12">
      <c r="AE47" s="274">
        <v>17</v>
      </c>
      <c r="AF47" s="275" t="s">
        <v>8</v>
      </c>
    </row>
    <row r="48" spans="31:32" ht="12">
      <c r="AE48" s="274">
        <v>18</v>
      </c>
      <c r="AF48" s="275" t="s">
        <v>205</v>
      </c>
    </row>
    <row r="49" spans="31:32" ht="12">
      <c r="AE49" s="274">
        <v>19</v>
      </c>
      <c r="AF49" s="275" t="s">
        <v>206</v>
      </c>
    </row>
    <row r="50" spans="31:32" ht="12">
      <c r="AE50" s="274">
        <v>20</v>
      </c>
      <c r="AF50" s="275" t="s">
        <v>207</v>
      </c>
    </row>
    <row r="51" spans="31:32" ht="12">
      <c r="AE51" s="274">
        <v>21</v>
      </c>
      <c r="AF51" s="275" t="s">
        <v>208</v>
      </c>
    </row>
    <row r="52" spans="31:32" ht="12">
      <c r="AE52" s="274">
        <v>22</v>
      </c>
      <c r="AF52" s="275" t="s">
        <v>9</v>
      </c>
    </row>
    <row r="53" spans="31:32" ht="12">
      <c r="AE53" s="274">
        <v>23</v>
      </c>
      <c r="AF53" s="275" t="s">
        <v>10</v>
      </c>
    </row>
    <row r="54" spans="31:32" ht="12">
      <c r="AE54" s="274">
        <v>24</v>
      </c>
      <c r="AF54" s="275" t="s">
        <v>11</v>
      </c>
    </row>
    <row r="55" spans="31:32" ht="12">
      <c r="AE55" s="274">
        <v>25</v>
      </c>
      <c r="AF55" s="275" t="s">
        <v>12</v>
      </c>
    </row>
    <row r="56" spans="31:32" ht="12">
      <c r="AE56" s="274">
        <v>26</v>
      </c>
      <c r="AF56" s="275" t="s">
        <v>209</v>
      </c>
    </row>
    <row r="57" spans="31:32" ht="12">
      <c r="AE57" s="274">
        <v>27</v>
      </c>
      <c r="AF57" s="275" t="s">
        <v>210</v>
      </c>
    </row>
    <row r="58" spans="31:32" ht="12">
      <c r="AE58" s="274">
        <v>28</v>
      </c>
      <c r="AF58" s="275" t="s">
        <v>13</v>
      </c>
    </row>
    <row r="59" spans="31:32" ht="12">
      <c r="AE59" s="274">
        <v>29</v>
      </c>
      <c r="AF59" s="275" t="s">
        <v>14</v>
      </c>
    </row>
    <row r="60" spans="31:32" ht="12">
      <c r="AE60" s="274">
        <v>30</v>
      </c>
      <c r="AF60" s="275" t="s">
        <v>15</v>
      </c>
    </row>
    <row r="61" spans="31:32" ht="12">
      <c r="AE61" s="274">
        <v>31</v>
      </c>
      <c r="AF61" s="275" t="s">
        <v>211</v>
      </c>
    </row>
    <row r="62" spans="31:32" ht="12">
      <c r="AE62" s="274">
        <v>32</v>
      </c>
      <c r="AF62" s="275" t="s">
        <v>212</v>
      </c>
    </row>
    <row r="63" spans="31:32" ht="12">
      <c r="AE63" s="274">
        <v>33</v>
      </c>
      <c r="AF63" s="275" t="s">
        <v>213</v>
      </c>
    </row>
    <row r="64" spans="31:32" ht="12">
      <c r="AE64" s="274">
        <v>34</v>
      </c>
      <c r="AF64" s="275" t="s">
        <v>16</v>
      </c>
    </row>
    <row r="65" spans="31:32" ht="12">
      <c r="AE65" s="274">
        <v>35</v>
      </c>
      <c r="AF65" s="275" t="s">
        <v>214</v>
      </c>
    </row>
    <row r="66" spans="31:32" ht="12">
      <c r="AE66" s="274">
        <v>36</v>
      </c>
      <c r="AF66" s="276" t="s">
        <v>215</v>
      </c>
    </row>
    <row r="67" spans="31:32" ht="12">
      <c r="AE67" s="274">
        <v>37</v>
      </c>
      <c r="AF67" s="276" t="s">
        <v>17</v>
      </c>
    </row>
    <row r="68" spans="31:32" ht="12">
      <c r="AE68" s="274">
        <v>38</v>
      </c>
      <c r="AF68" s="275" t="s">
        <v>216</v>
      </c>
    </row>
    <row r="69" spans="31:32" ht="12">
      <c r="AE69" s="274">
        <v>39</v>
      </c>
      <c r="AF69" s="275" t="s">
        <v>217</v>
      </c>
    </row>
    <row r="70" spans="31:32" ht="12">
      <c r="AE70" s="274">
        <v>40</v>
      </c>
      <c r="AF70" s="275" t="s">
        <v>218</v>
      </c>
    </row>
    <row r="71" spans="31:32" ht="12">
      <c r="AE71" s="274">
        <v>41</v>
      </c>
      <c r="AF71" s="276" t="s">
        <v>219</v>
      </c>
    </row>
    <row r="72" spans="31:32" ht="12">
      <c r="AE72" s="274">
        <v>42</v>
      </c>
      <c r="AF72" s="275" t="s">
        <v>220</v>
      </c>
    </row>
    <row r="73" spans="31:32" ht="12">
      <c r="AE73" s="274">
        <v>43</v>
      </c>
      <c r="AF73" s="275" t="s">
        <v>18</v>
      </c>
    </row>
    <row r="74" spans="31:32" ht="12">
      <c r="AE74" s="274">
        <v>44</v>
      </c>
      <c r="AF74" s="275" t="s">
        <v>221</v>
      </c>
    </row>
    <row r="75" spans="31:32" ht="12">
      <c r="AE75" s="274">
        <v>45</v>
      </c>
      <c r="AF75" s="275" t="s">
        <v>19</v>
      </c>
    </row>
    <row r="76" spans="31:32" ht="12">
      <c r="AE76" s="274">
        <v>46</v>
      </c>
      <c r="AF76" s="275" t="s">
        <v>222</v>
      </c>
    </row>
    <row r="77" spans="31:32" ht="12">
      <c r="AE77" s="274">
        <v>47</v>
      </c>
      <c r="AF77" s="275" t="s">
        <v>20</v>
      </c>
    </row>
    <row r="78" spans="31:32" ht="12">
      <c r="AE78" s="274">
        <v>48</v>
      </c>
      <c r="AF78" s="275" t="s">
        <v>223</v>
      </c>
    </row>
    <row r="79" spans="31:32" ht="12">
      <c r="AE79" s="274">
        <v>49</v>
      </c>
      <c r="AF79" s="275" t="s">
        <v>224</v>
      </c>
    </row>
    <row r="80" spans="31:32" ht="12">
      <c r="AE80" s="274">
        <v>50</v>
      </c>
      <c r="AF80" s="275" t="s">
        <v>21</v>
      </c>
    </row>
    <row r="81" spans="31:32" ht="12">
      <c r="AE81" s="274">
        <v>51</v>
      </c>
      <c r="AF81" s="275" t="s">
        <v>225</v>
      </c>
    </row>
    <row r="82" spans="31:32" ht="12">
      <c r="AE82" s="274">
        <v>52</v>
      </c>
      <c r="AF82" s="275" t="s">
        <v>226</v>
      </c>
    </row>
    <row r="83" spans="31:32" ht="12">
      <c r="AE83" s="274">
        <v>53</v>
      </c>
      <c r="AF83" s="275" t="s">
        <v>227</v>
      </c>
    </row>
    <row r="84" spans="31:32" ht="12">
      <c r="AE84" s="274">
        <v>54</v>
      </c>
      <c r="AF84" s="275" t="s">
        <v>228</v>
      </c>
    </row>
    <row r="85" spans="31:32" ht="12">
      <c r="AE85" s="274">
        <v>55</v>
      </c>
      <c r="AF85" s="275" t="s">
        <v>22</v>
      </c>
    </row>
    <row r="86" spans="31:32" ht="12">
      <c r="AE86" s="274">
        <v>56</v>
      </c>
      <c r="AF86" s="275" t="s">
        <v>229</v>
      </c>
    </row>
    <row r="87" spans="31:32" ht="12">
      <c r="AE87" s="274">
        <v>57</v>
      </c>
      <c r="AF87" s="275" t="s">
        <v>230</v>
      </c>
    </row>
    <row r="88" spans="31:32" ht="12">
      <c r="AE88" s="274">
        <v>58</v>
      </c>
      <c r="AF88" s="275" t="s">
        <v>231</v>
      </c>
    </row>
    <row r="89" spans="31:32" ht="12">
      <c r="AE89" s="274">
        <v>59</v>
      </c>
      <c r="AF89" s="276" t="s">
        <v>23</v>
      </c>
    </row>
    <row r="90" spans="31:32" ht="12">
      <c r="AE90" s="274">
        <v>60</v>
      </c>
      <c r="AF90" s="275" t="s">
        <v>232</v>
      </c>
    </row>
    <row r="91" spans="31:32" ht="12">
      <c r="AE91" s="274">
        <v>61</v>
      </c>
      <c r="AF91" s="276" t="s">
        <v>233</v>
      </c>
    </row>
    <row r="92" spans="31:32" ht="12">
      <c r="AE92" s="274">
        <v>62</v>
      </c>
      <c r="AF92" s="275" t="s">
        <v>234</v>
      </c>
    </row>
    <row r="93" spans="31:32" ht="12">
      <c r="AE93" s="274">
        <v>63</v>
      </c>
      <c r="AF93" s="275" t="s">
        <v>24</v>
      </c>
    </row>
    <row r="94" spans="31:32" ht="12">
      <c r="AE94" s="274">
        <v>64</v>
      </c>
      <c r="AF94" s="275" t="s">
        <v>25</v>
      </c>
    </row>
    <row r="95" spans="31:32" ht="12">
      <c r="AE95" s="274">
        <v>65</v>
      </c>
      <c r="AF95" s="275" t="s">
        <v>235</v>
      </c>
    </row>
    <row r="96" spans="31:32" ht="12">
      <c r="AE96" s="274">
        <v>66</v>
      </c>
      <c r="AF96" s="275" t="s">
        <v>26</v>
      </c>
    </row>
    <row r="97" spans="31:32" ht="12">
      <c r="AE97" s="274">
        <v>67</v>
      </c>
      <c r="AF97" s="275" t="s">
        <v>236</v>
      </c>
    </row>
    <row r="98" spans="31:32" ht="12">
      <c r="AE98" s="274">
        <v>68</v>
      </c>
      <c r="AF98" s="275" t="s">
        <v>237</v>
      </c>
    </row>
    <row r="99" spans="31:32" ht="12">
      <c r="AE99" s="274">
        <v>69</v>
      </c>
      <c r="AF99" s="275" t="s">
        <v>27</v>
      </c>
    </row>
    <row r="100" spans="31:32" ht="12">
      <c r="AE100" s="274">
        <v>70</v>
      </c>
      <c r="AF100" s="275" t="s">
        <v>28</v>
      </c>
    </row>
    <row r="101" spans="31:32" ht="12">
      <c r="AE101" s="274">
        <v>71</v>
      </c>
      <c r="AF101" s="275" t="s">
        <v>238</v>
      </c>
    </row>
    <row r="102" spans="31:32" ht="12">
      <c r="AE102" s="274">
        <v>72</v>
      </c>
      <c r="AF102" s="276" t="s">
        <v>239</v>
      </c>
    </row>
    <row r="103" spans="31:32" ht="12">
      <c r="AE103" s="274">
        <v>73</v>
      </c>
      <c r="AF103" s="275" t="s">
        <v>240</v>
      </c>
    </row>
    <row r="104" spans="31:32" ht="12">
      <c r="AE104" s="274">
        <v>74</v>
      </c>
      <c r="AF104" s="275" t="s">
        <v>241</v>
      </c>
    </row>
    <row r="105" spans="31:32" ht="12">
      <c r="AE105" s="274">
        <v>75</v>
      </c>
      <c r="AF105" s="275" t="s">
        <v>242</v>
      </c>
    </row>
    <row r="106" spans="31:32" ht="12">
      <c r="AE106" s="274">
        <v>76</v>
      </c>
      <c r="AF106" s="275" t="s">
        <v>29</v>
      </c>
    </row>
    <row r="107" spans="31:32" ht="12">
      <c r="AE107" s="274">
        <v>77</v>
      </c>
      <c r="AF107" s="276" t="s">
        <v>243</v>
      </c>
    </row>
    <row r="108" spans="31:32" ht="12">
      <c r="AE108" s="274">
        <v>78</v>
      </c>
      <c r="AF108" s="276" t="s">
        <v>244</v>
      </c>
    </row>
    <row r="109" spans="31:32" ht="12">
      <c r="AE109" s="274">
        <v>79</v>
      </c>
      <c r="AF109" s="276" t="s">
        <v>245</v>
      </c>
    </row>
    <row r="110" spans="31:32" ht="12">
      <c r="AE110" s="274">
        <v>80</v>
      </c>
      <c r="AF110" s="275" t="s">
        <v>246</v>
      </c>
    </row>
    <row r="111" spans="31:32" ht="12">
      <c r="AE111" s="12">
        <v>81</v>
      </c>
      <c r="AF111" s="275" t="s">
        <v>247</v>
      </c>
    </row>
    <row r="112" spans="31:32" ht="12">
      <c r="AE112" s="12"/>
      <c r="AF112" s="12" t="s">
        <v>31</v>
      </c>
    </row>
  </sheetData>
  <sheetProtection sheet="1" objects="1" scenarios="1"/>
  <mergeCells count="16">
    <mergeCell ref="J14:K14"/>
    <mergeCell ref="C26:H27"/>
    <mergeCell ref="D9:F9"/>
    <mergeCell ref="D10:F10"/>
    <mergeCell ref="C19:K20"/>
    <mergeCell ref="C21:H24"/>
    <mergeCell ref="F29:F30"/>
    <mergeCell ref="I29:I30"/>
    <mergeCell ref="B3:K4"/>
    <mergeCell ref="F14:G14"/>
    <mergeCell ref="H14:I14"/>
    <mergeCell ref="F15:G15"/>
    <mergeCell ref="H15:I15"/>
    <mergeCell ref="J15:K15"/>
    <mergeCell ref="C6:K7"/>
    <mergeCell ref="I9:K9"/>
  </mergeCells>
  <printOptions/>
  <pageMargins left="0.3937007874015748" right="0.3937007874015748" top="0.3937007874015748" bottom="0.3937007874015748" header="0.5118110236220472" footer="0.5118110236220472"/>
  <pageSetup fitToHeight="1" fitToWidth="1" horizontalDpi="600" verticalDpi="600" orientation="portrait" paperSize="9" scale="93" r:id="rId4"/>
  <drawing r:id="rId3"/>
  <legacyDrawing r:id="rId2"/>
  <oleObjects>
    <oleObject progId="MSPhotoEd.3" shapeId="343752" r:id="rId1"/>
  </oleObjects>
</worksheet>
</file>

<file path=xl/worksheets/sheet3.xml><?xml version="1.0" encoding="utf-8"?>
<worksheet xmlns="http://schemas.openxmlformats.org/spreadsheetml/2006/main" xmlns:r="http://schemas.openxmlformats.org/officeDocument/2006/relationships">
  <sheetPr codeName="Foglio19">
    <pageSetUpPr fitToPage="1"/>
  </sheetPr>
  <dimension ref="B1:T24"/>
  <sheetViews>
    <sheetView showGridLines="0" showRowColHeaders="0" workbookViewId="0" topLeftCell="A1">
      <selection activeCell="A1" sqref="A1"/>
    </sheetView>
  </sheetViews>
  <sheetFormatPr defaultColWidth="9.140625" defaultRowHeight="11.25"/>
  <cols>
    <col min="1" max="1" width="3.00390625" style="1" customWidth="1"/>
    <col min="2" max="2" width="4.421875" style="1" customWidth="1"/>
    <col min="3" max="17" width="5.7109375" style="1" customWidth="1"/>
    <col min="18" max="18" width="4.8515625" style="1" customWidth="1"/>
    <col min="19" max="19" width="5.140625" style="1" customWidth="1"/>
    <col min="20" max="20" width="3.8515625" style="1" customWidth="1"/>
    <col min="21" max="26" width="5.7109375" style="1" customWidth="1"/>
    <col min="27" max="16384" width="9.140625" style="1" customWidth="1"/>
  </cols>
  <sheetData>
    <row r="1" spans="7:18" ht="60" customHeight="1">
      <c r="G1" s="2"/>
      <c r="H1" s="2"/>
      <c r="I1" s="2"/>
      <c r="J1" s="2"/>
      <c r="K1" s="2"/>
      <c r="L1" s="2"/>
      <c r="M1" s="2"/>
      <c r="N1" s="2"/>
      <c r="O1" s="2"/>
      <c r="P1" s="2"/>
      <c r="Q1" s="2"/>
      <c r="R1" s="2"/>
    </row>
    <row r="3" spans="2:20" ht="12">
      <c r="B3" s="319" t="s">
        <v>152</v>
      </c>
      <c r="C3" s="320"/>
      <c r="D3" s="320"/>
      <c r="E3" s="320"/>
      <c r="F3" s="320"/>
      <c r="G3" s="320"/>
      <c r="H3" s="320"/>
      <c r="I3" s="320"/>
      <c r="J3" s="320"/>
      <c r="K3" s="320"/>
      <c r="L3" s="320"/>
      <c r="M3" s="320"/>
      <c r="N3" s="320"/>
      <c r="O3" s="320"/>
      <c r="P3" s="320"/>
      <c r="Q3" s="320"/>
      <c r="R3" s="320"/>
      <c r="S3" s="320"/>
      <c r="T3" s="320"/>
    </row>
    <row r="4" spans="2:20" ht="12">
      <c r="B4" s="320"/>
      <c r="C4" s="320"/>
      <c r="D4" s="320"/>
      <c r="E4" s="320"/>
      <c r="F4" s="320"/>
      <c r="G4" s="320"/>
      <c r="H4" s="320"/>
      <c r="I4" s="320"/>
      <c r="J4" s="320"/>
      <c r="K4" s="320"/>
      <c r="L4" s="320"/>
      <c r="M4" s="320"/>
      <c r="N4" s="320"/>
      <c r="O4" s="320"/>
      <c r="P4" s="320"/>
      <c r="Q4" s="320"/>
      <c r="R4" s="320"/>
      <c r="S4" s="320"/>
      <c r="T4" s="320"/>
    </row>
    <row r="6" ht="12"/>
    <row r="7" ht="12"/>
    <row r="8" ht="12"/>
    <row r="9" ht="12"/>
    <row r="10" ht="12"/>
    <row r="11" ht="12"/>
    <row r="12" ht="12"/>
    <row r="13" ht="12"/>
    <row r="14" ht="12"/>
    <row r="15" ht="12"/>
    <row r="16" ht="12"/>
    <row r="17" ht="12"/>
    <row r="18" ht="12"/>
    <row r="19" ht="12"/>
    <row r="20" ht="12"/>
    <row r="21" ht="12"/>
    <row r="22" ht="12"/>
    <row r="23" ht="12"/>
    <row r="24" ht="15">
      <c r="B24" s="232" t="s">
        <v>164</v>
      </c>
    </row>
  </sheetData>
  <sheetProtection sheet="1" objects="1" scenarios="1"/>
  <mergeCells count="1">
    <mergeCell ref="B3:T4"/>
  </mergeCells>
  <printOptions/>
  <pageMargins left="0.3937007874015748" right="0.3937007874015748" top="0.3937007874015748" bottom="0.3937007874015748" header="0.5118110236220472" footer="0.5118110236220472"/>
  <pageSetup fitToHeight="1" fitToWidth="1" orientation="portrait" paperSize="9" scale="95" r:id="rId4"/>
  <drawing r:id="rId3"/>
  <legacyDrawing r:id="rId2"/>
  <oleObjects>
    <oleObject progId="MSPhotoEd.3" shapeId="344308" r:id="rId1"/>
  </oleObjects>
</worksheet>
</file>

<file path=xl/worksheets/sheet4.xml><?xml version="1.0" encoding="utf-8"?>
<worksheet xmlns="http://schemas.openxmlformats.org/spreadsheetml/2006/main" xmlns:r="http://schemas.openxmlformats.org/officeDocument/2006/relationships">
  <sheetPr codeName="Foglio17">
    <pageSetUpPr fitToPage="1"/>
  </sheetPr>
  <dimension ref="A1:AL83"/>
  <sheetViews>
    <sheetView showGridLines="0" showRowColHeaders="0" workbookViewId="0" topLeftCell="A41">
      <selection activeCell="A1" sqref="A1"/>
    </sheetView>
  </sheetViews>
  <sheetFormatPr defaultColWidth="9.140625" defaultRowHeight="11.25"/>
  <cols>
    <col min="1" max="1" width="3.7109375" style="1" customWidth="1"/>
    <col min="2" max="2" width="3.28125" style="1" customWidth="1"/>
    <col min="3" max="3" width="12.140625" style="1" customWidth="1"/>
    <col min="4" max="4" width="14.00390625" style="1" customWidth="1"/>
    <col min="5" max="5" width="10.421875" style="1" customWidth="1"/>
    <col min="6" max="6" width="9.140625" style="1" customWidth="1"/>
    <col min="7" max="7" width="9.28125" style="1" customWidth="1"/>
    <col min="8" max="8" width="8.28125" style="1" customWidth="1"/>
    <col min="9" max="11" width="8.7109375" style="1" customWidth="1"/>
    <col min="12" max="12" width="10.7109375" style="1" customWidth="1"/>
    <col min="13" max="20" width="7.7109375" style="1" customWidth="1"/>
    <col min="21" max="26" width="2.7109375" style="1" customWidth="1"/>
    <col min="27" max="27" width="6.7109375" style="1" customWidth="1"/>
    <col min="28" max="30" width="4.7109375" style="1" customWidth="1"/>
    <col min="31" max="31" width="8.421875" style="1" customWidth="1"/>
    <col min="32" max="32" width="4.7109375" style="1" customWidth="1"/>
    <col min="33" max="33" width="10.28125" style="1" customWidth="1"/>
    <col min="34" max="36" width="4.7109375" style="1" customWidth="1"/>
    <col min="37" max="37" width="6.140625" style="1" customWidth="1"/>
    <col min="38" max="16384" width="9.140625" style="1" customWidth="1"/>
  </cols>
  <sheetData>
    <row r="1" spans="10:38" ht="56.25" customHeight="1">
      <c r="J1" s="2"/>
      <c r="K1" s="2"/>
      <c r="L1" s="2"/>
      <c r="M1" s="2"/>
      <c r="N1" s="2"/>
      <c r="O1" s="2"/>
      <c r="P1" s="2"/>
      <c r="Q1" s="2"/>
      <c r="R1" s="2"/>
      <c r="S1" s="2"/>
      <c r="T1" s="2"/>
      <c r="AF1" s="12"/>
      <c r="AG1" s="12"/>
      <c r="AH1" s="12"/>
      <c r="AI1" s="12"/>
      <c r="AJ1" s="12"/>
      <c r="AK1" s="12"/>
      <c r="AL1" s="12"/>
    </row>
    <row r="2" spans="32:38" s="2" customFormat="1" ht="13.5" customHeight="1">
      <c r="AF2" s="13"/>
      <c r="AG2" s="12"/>
      <c r="AH2" s="12"/>
      <c r="AI2" s="12"/>
      <c r="AJ2" s="12"/>
      <c r="AK2" s="184">
        <f>MATCH(AK3,database!C$3:AA$3,0)</f>
        <v>1</v>
      </c>
      <c r="AL2" s="13"/>
    </row>
    <row r="3" spans="2:38" ht="12" customHeight="1">
      <c r="B3" s="352" t="s">
        <v>93</v>
      </c>
      <c r="C3" s="353"/>
      <c r="D3" s="353"/>
      <c r="E3" s="353"/>
      <c r="F3" s="353"/>
      <c r="G3" s="353"/>
      <c r="H3" s="353"/>
      <c r="I3" s="353"/>
      <c r="J3" s="353"/>
      <c r="K3" s="353"/>
      <c r="L3" s="353"/>
      <c r="AF3" s="12"/>
      <c r="AG3" s="12"/>
      <c r="AH3" s="12"/>
      <c r="AI3" s="12"/>
      <c r="AJ3" s="12"/>
      <c r="AK3" s="8" t="s">
        <v>249</v>
      </c>
      <c r="AL3" s="12"/>
    </row>
    <row r="4" spans="2:38" ht="12" customHeight="1">
      <c r="B4" s="353"/>
      <c r="C4" s="353"/>
      <c r="D4" s="353"/>
      <c r="E4" s="353"/>
      <c r="F4" s="353"/>
      <c r="G4" s="353"/>
      <c r="H4" s="353"/>
      <c r="I4" s="353"/>
      <c r="J4" s="353"/>
      <c r="K4" s="353"/>
      <c r="L4" s="353"/>
      <c r="AF4" s="12"/>
      <c r="AG4" s="14"/>
      <c r="AH4" s="15"/>
      <c r="AI4" s="15"/>
      <c r="AJ4" s="15"/>
      <c r="AK4" s="16"/>
      <c r="AL4" s="12"/>
    </row>
    <row r="5" spans="32:38" ht="12">
      <c r="AF5" s="12"/>
      <c r="AG5" s="17" t="s">
        <v>31</v>
      </c>
      <c r="AH5" s="12">
        <f>MATCH(AG5,database!B$4:B$84,0)</f>
        <v>81</v>
      </c>
      <c r="AI5" s="12"/>
      <c r="AJ5" s="12"/>
      <c r="AK5" s="18">
        <f>IF($AH5=0,"n.a.",INDEX(database!$C$4:$AA$84,$AH5,AK$2))</f>
        <v>58.1</v>
      </c>
      <c r="AL5" s="12"/>
    </row>
    <row r="6" spans="2:38" ht="12.75">
      <c r="B6" s="19" t="s">
        <v>84</v>
      </c>
      <c r="C6" s="12"/>
      <c r="D6" s="12"/>
      <c r="E6" s="354">
        <f>IF(AG6=0,"",AG6)</f>
      </c>
      <c r="F6" s="355"/>
      <c r="G6" s="12"/>
      <c r="H6" s="357" t="s">
        <v>88</v>
      </c>
      <c r="I6" s="356" t="s">
        <v>92</v>
      </c>
      <c r="J6" s="356"/>
      <c r="K6" s="356"/>
      <c r="L6" s="20">
        <f>IF(contesto!F16="","",contesto!F16)</f>
      </c>
      <c r="AF6" s="12"/>
      <c r="AG6" s="21">
        <f>contesto!AB21</f>
        <v>0</v>
      </c>
      <c r="AH6" s="12"/>
      <c r="AI6" s="12"/>
      <c r="AJ6" s="12"/>
      <c r="AK6" s="12"/>
      <c r="AL6" s="12"/>
    </row>
    <row r="7" spans="2:38" ht="12">
      <c r="B7" s="12"/>
      <c r="C7" s="12"/>
      <c r="D7" s="12"/>
      <c r="E7" s="22" t="s">
        <v>136</v>
      </c>
      <c r="F7" s="23">
        <f>IF(contesto!$H$10=0,"",contesto!$H$10)</f>
      </c>
      <c r="G7" s="12"/>
      <c r="H7" s="358"/>
      <c r="I7" s="356" t="s">
        <v>85</v>
      </c>
      <c r="J7" s="356"/>
      <c r="K7" s="24">
        <f>IF(E6="","",IF(contesto!AC23=0,1,contesto!AC23))</f>
      </c>
      <c r="L7" s="25">
        <f>IF(L6="","",L6*K7)</f>
      </c>
      <c r="U7" s="12"/>
      <c r="AF7" s="12"/>
      <c r="AG7" s="26" t="s">
        <v>282</v>
      </c>
      <c r="AH7" s="12"/>
      <c r="AI7" s="12"/>
      <c r="AJ7" s="12"/>
      <c r="AK7" s="12"/>
      <c r="AL7" s="12"/>
    </row>
    <row r="8" spans="2:38" ht="12.75">
      <c r="B8" s="27"/>
      <c r="C8" s="27"/>
      <c r="D8" s="27"/>
      <c r="E8" s="27"/>
      <c r="AF8" s="12"/>
      <c r="AG8" s="28" t="s">
        <v>95</v>
      </c>
      <c r="AH8" s="12"/>
      <c r="AI8" s="12"/>
      <c r="AJ8" s="12"/>
      <c r="AK8" s="12"/>
      <c r="AL8" s="12"/>
    </row>
    <row r="9" spans="1:38" ht="12">
      <c r="A9" s="29"/>
      <c r="B9" s="30" t="s">
        <v>164</v>
      </c>
      <c r="C9" s="296" t="s">
        <v>166</v>
      </c>
      <c r="D9" s="303"/>
      <c r="E9" s="303"/>
      <c r="F9" s="303"/>
      <c r="G9" s="303"/>
      <c r="H9" s="303"/>
      <c r="I9" s="303"/>
      <c r="J9" s="303"/>
      <c r="K9" s="303"/>
      <c r="L9" s="303"/>
      <c r="M9" s="12"/>
      <c r="N9" s="12"/>
      <c r="O9" s="12"/>
      <c r="P9" s="12"/>
      <c r="Q9" s="12"/>
      <c r="R9" s="12"/>
      <c r="S9" s="12"/>
      <c r="T9" s="12"/>
      <c r="U9" s="12"/>
      <c r="V9" s="12"/>
      <c r="W9" s="12"/>
      <c r="X9" s="12"/>
      <c r="Y9" s="12"/>
      <c r="Z9" s="12"/>
      <c r="AD9" s="31"/>
      <c r="AE9" s="32"/>
      <c r="AF9" s="12"/>
      <c r="AG9" s="12"/>
      <c r="AH9" s="12"/>
      <c r="AI9" s="12"/>
      <c r="AJ9" s="12"/>
      <c r="AK9" s="12"/>
      <c r="AL9" s="12"/>
    </row>
    <row r="10" spans="1:38" ht="12">
      <c r="A10" s="12"/>
      <c r="C10" s="303"/>
      <c r="D10" s="303"/>
      <c r="E10" s="303"/>
      <c r="F10" s="303"/>
      <c r="G10" s="303"/>
      <c r="H10" s="303"/>
      <c r="I10" s="303"/>
      <c r="J10" s="303"/>
      <c r="K10" s="303"/>
      <c r="L10" s="303"/>
      <c r="M10" s="12"/>
      <c r="N10" s="12"/>
      <c r="O10" s="12"/>
      <c r="P10" s="12"/>
      <c r="Q10" s="12"/>
      <c r="R10" s="12"/>
      <c r="S10" s="12"/>
      <c r="T10" s="12"/>
      <c r="U10" s="12"/>
      <c r="V10" s="12"/>
      <c r="W10" s="12"/>
      <c r="X10" s="12"/>
      <c r="Y10" s="12"/>
      <c r="Z10" s="12"/>
      <c r="AD10" s="31"/>
      <c r="AE10" s="32"/>
      <c r="AF10" s="12"/>
      <c r="AG10" s="12"/>
      <c r="AH10" s="12"/>
      <c r="AI10" s="12"/>
      <c r="AJ10" s="12"/>
      <c r="AK10" s="12"/>
      <c r="AL10" s="12"/>
    </row>
    <row r="11" spans="1:33" ht="12">
      <c r="A11" s="29"/>
      <c r="C11" s="303" t="s">
        <v>106</v>
      </c>
      <c r="D11" s="303"/>
      <c r="E11" s="303"/>
      <c r="F11" s="303"/>
      <c r="G11" s="303"/>
      <c r="H11" s="303"/>
      <c r="I11" s="303"/>
      <c r="J11" s="303"/>
      <c r="K11" s="303"/>
      <c r="L11" s="303"/>
      <c r="M11" s="12"/>
      <c r="N11" s="12"/>
      <c r="O11" s="12"/>
      <c r="P11" s="12"/>
      <c r="Q11" s="12"/>
      <c r="R11" s="12"/>
      <c r="S11" s="12"/>
      <c r="T11" s="12"/>
      <c r="U11" s="12"/>
      <c r="V11" s="12"/>
      <c r="W11" s="12"/>
      <c r="X11" s="12"/>
      <c r="Y11" s="12"/>
      <c r="Z11" s="12"/>
      <c r="AG11" s="33" t="s">
        <v>174</v>
      </c>
    </row>
    <row r="12" spans="3:12" ht="12">
      <c r="C12" s="303"/>
      <c r="D12" s="303"/>
      <c r="E12" s="303"/>
      <c r="F12" s="303"/>
      <c r="G12" s="303"/>
      <c r="H12" s="303"/>
      <c r="I12" s="303"/>
      <c r="J12" s="303"/>
      <c r="K12" s="303"/>
      <c r="L12" s="303"/>
    </row>
    <row r="13" spans="3:12" ht="12">
      <c r="C13" s="303"/>
      <c r="D13" s="303"/>
      <c r="E13" s="303"/>
      <c r="F13" s="303"/>
      <c r="G13" s="303"/>
      <c r="H13" s="303"/>
      <c r="I13" s="303"/>
      <c r="J13" s="303"/>
      <c r="K13" s="303"/>
      <c r="L13" s="303"/>
    </row>
    <row r="14" spans="3:33" ht="12">
      <c r="C14" s="34" t="s">
        <v>110</v>
      </c>
      <c r="AG14" s="33" t="s">
        <v>177</v>
      </c>
    </row>
    <row r="16" spans="2:33" ht="12">
      <c r="B16" s="35" t="s">
        <v>111</v>
      </c>
      <c r="AG16" s="33" t="s">
        <v>286</v>
      </c>
    </row>
    <row r="18" spans="1:33" ht="12">
      <c r="A18" s="29"/>
      <c r="B18" s="36" t="s">
        <v>165</v>
      </c>
      <c r="C18" s="296" t="s">
        <v>285</v>
      </c>
      <c r="D18" s="297"/>
      <c r="E18" s="297"/>
      <c r="F18" s="297"/>
      <c r="G18" s="297"/>
      <c r="H18" s="297"/>
      <c r="I18" s="297"/>
      <c r="J18" s="297"/>
      <c r="K18" s="297"/>
      <c r="L18" s="297"/>
      <c r="AG18" s="33" t="s">
        <v>288</v>
      </c>
    </row>
    <row r="19" spans="3:12" ht="12">
      <c r="C19" s="297"/>
      <c r="D19" s="297"/>
      <c r="E19" s="297"/>
      <c r="F19" s="297"/>
      <c r="G19" s="297"/>
      <c r="H19" s="297"/>
      <c r="I19" s="297"/>
      <c r="J19" s="297"/>
      <c r="K19" s="297"/>
      <c r="L19" s="297"/>
    </row>
    <row r="20" spans="3:12" ht="12">
      <c r="C20" s="297"/>
      <c r="D20" s="297"/>
      <c r="E20" s="297"/>
      <c r="F20" s="297"/>
      <c r="G20" s="297"/>
      <c r="H20" s="297"/>
      <c r="I20" s="297"/>
      <c r="J20" s="297"/>
      <c r="K20" s="297"/>
      <c r="L20" s="297"/>
    </row>
    <row r="21" spans="3:12" ht="12">
      <c r="C21" s="297"/>
      <c r="D21" s="297"/>
      <c r="E21" s="297"/>
      <c r="F21" s="297"/>
      <c r="G21" s="297"/>
      <c r="H21" s="297"/>
      <c r="I21" s="297"/>
      <c r="J21" s="297"/>
      <c r="K21" s="297"/>
      <c r="L21" s="297"/>
    </row>
    <row r="23" spans="2:12" ht="12">
      <c r="B23" s="344">
        <f>IF(AND(AG6=0,SUM(G28:J28,G30:J30,G34:J34)&gt;0),AG14,"")</f>
      </c>
      <c r="C23" s="344"/>
      <c r="D23" s="344"/>
      <c r="E23" s="344"/>
      <c r="F23" s="344"/>
      <c r="G23" s="38" t="s">
        <v>60</v>
      </c>
      <c r="H23" s="38" t="s">
        <v>61</v>
      </c>
      <c r="I23" s="39" t="s">
        <v>62</v>
      </c>
      <c r="J23" s="38" t="s">
        <v>63</v>
      </c>
      <c r="K23" s="5"/>
      <c r="L23" s="39" t="s">
        <v>64</v>
      </c>
    </row>
    <row r="24" spans="2:12" ht="12">
      <c r="B24" s="344"/>
      <c r="C24" s="344"/>
      <c r="D24" s="344"/>
      <c r="E24" s="344"/>
      <c r="F24" s="344"/>
      <c r="G24" s="38" t="s">
        <v>65</v>
      </c>
      <c r="H24" s="38" t="s">
        <v>65</v>
      </c>
      <c r="I24" s="38" t="s">
        <v>66</v>
      </c>
      <c r="J24" s="38" t="s">
        <v>67</v>
      </c>
      <c r="K24" s="5"/>
      <c r="L24" s="40" t="s">
        <v>68</v>
      </c>
    </row>
    <row r="25" spans="3:12" ht="12">
      <c r="C25" s="41"/>
      <c r="D25" s="41"/>
      <c r="E25" s="41"/>
      <c r="F25" s="41"/>
      <c r="G25" s="41"/>
      <c r="H25" s="41"/>
      <c r="I25" s="41"/>
      <c r="J25" s="41"/>
      <c r="K25" s="41"/>
      <c r="L25" s="41"/>
    </row>
    <row r="26" spans="3:12" ht="12">
      <c r="C26" s="338" t="s">
        <v>43</v>
      </c>
      <c r="D26" s="42" t="s">
        <v>100</v>
      </c>
      <c r="E26" s="43"/>
      <c r="F26" s="44"/>
      <c r="G26" s="45">
        <v>600</v>
      </c>
      <c r="H26" s="46">
        <v>7500</v>
      </c>
      <c r="I26" s="46">
        <v>13700</v>
      </c>
      <c r="J26" s="47">
        <v>70000</v>
      </c>
      <c r="K26" s="48"/>
      <c r="L26" s="49">
        <f>SUM(G26:J26)</f>
        <v>91800</v>
      </c>
    </row>
    <row r="27" spans="3:12" ht="12">
      <c r="C27" s="339"/>
      <c r="D27" s="50" t="s">
        <v>121</v>
      </c>
      <c r="E27" s="41"/>
      <c r="F27" s="51"/>
      <c r="G27" s="52">
        <f>IF(G26="n.a.","n.a.",ROUND($AK5*1000000/G26,-2))</f>
        <v>96800</v>
      </c>
      <c r="H27" s="52">
        <f>IF(H26="n.a.","n.a.",ROUND($AK5*1000000/H26,-2))</f>
        <v>7700</v>
      </c>
      <c r="I27" s="52">
        <f>IF(I26="n.a.","n.a.",ROUND($AK5*1000000/I26,-2))</f>
        <v>4200</v>
      </c>
      <c r="J27" s="52">
        <f>IF(J26="n.a.","n.a.",ROUND($AK5*1000000/J26,-2))</f>
        <v>800</v>
      </c>
      <c r="K27" s="53"/>
      <c r="L27" s="54">
        <f>ROUND($AK5*1000000/L26,-2)</f>
        <v>600</v>
      </c>
    </row>
    <row r="28" spans="1:12" ht="12">
      <c r="A28" s="29"/>
      <c r="B28" s="55" t="s">
        <v>30</v>
      </c>
      <c r="C28" s="56"/>
      <c r="D28" s="57" t="s">
        <v>101</v>
      </c>
      <c r="E28" s="43"/>
      <c r="F28" s="11"/>
      <c r="G28" s="58"/>
      <c r="H28" s="59"/>
      <c r="I28" s="59"/>
      <c r="J28" s="60"/>
      <c r="K28" s="61"/>
      <c r="L28" s="62" t="str">
        <f>IF(SUM(G28:J28)=0,"n.a.",SUM(G28:J28))</f>
        <v>n.a.</v>
      </c>
    </row>
    <row r="29" spans="3:12" ht="12">
      <c r="C29" s="63"/>
      <c r="D29" s="50" t="s">
        <v>105</v>
      </c>
      <c r="E29" s="41"/>
      <c r="F29" s="51"/>
      <c r="G29" s="64" t="str">
        <f>IF(G28=0,"n.a.",IF($L7="","n.a.",ROUND($L7*1000000/G28,-2)))</f>
        <v>n.a.</v>
      </c>
      <c r="H29" s="64" t="str">
        <f>IF(H28=0,"n.a.",IF($L7="","n.a.",ROUND($L7*1000000/H28,-2)))</f>
        <v>n.a.</v>
      </c>
      <c r="I29" s="64" t="str">
        <f>IF(I28=0,"n.a.",IF($L7="","n.a.",ROUND($L7*1000000/I28,-2)))</f>
        <v>n.a.</v>
      </c>
      <c r="J29" s="64" t="str">
        <f>IF(J28=0,"n.a.",IF($L7="","n.a.",ROUND($L7*1000000/J28,-2)))</f>
        <v>n.a.</v>
      </c>
      <c r="K29" s="61"/>
      <c r="L29" s="65" t="str">
        <f>IF(L28="n.a.","n.a.",IF(L7="","n.a.",ROUND(L7*1000000/L28,-2)))</f>
        <v>n.a.</v>
      </c>
    </row>
    <row r="30" spans="1:12" ht="12">
      <c r="A30" s="29"/>
      <c r="B30" s="55" t="s">
        <v>32</v>
      </c>
      <c r="C30" s="351">
        <f>E6</f>
      </c>
      <c r="D30" s="66" t="s">
        <v>108</v>
      </c>
      <c r="E30" s="5"/>
      <c r="F30" s="11"/>
      <c r="G30" s="67"/>
      <c r="H30" s="68"/>
      <c r="I30" s="68"/>
      <c r="J30" s="69"/>
      <c r="K30" s="48"/>
      <c r="L30" s="70" t="str">
        <f>IF(L31="n.a.","n.a.",IF(L7="","n.a.",ROUND(L7*1000000/L31,-1)))</f>
        <v>n.a.</v>
      </c>
    </row>
    <row r="31" spans="3:12" ht="12">
      <c r="C31" s="351"/>
      <c r="D31" s="50" t="s">
        <v>96</v>
      </c>
      <c r="E31" s="41"/>
      <c r="F31" s="71"/>
      <c r="G31" s="64" t="str">
        <f>IF(G30=0,"n.a.",IF($L7="","n.a.",ROUND($L7*1000000/G30,-2)))</f>
        <v>n.a.</v>
      </c>
      <c r="H31" s="64" t="str">
        <f>IF(H30=0,"n.a.",IF($L7="","n.a.",ROUND($L7*1000000/H30,-2)))</f>
        <v>n.a.</v>
      </c>
      <c r="I31" s="64" t="str">
        <f>IF(I30=0,"n.a.",IF($L7="","n.a.",ROUND($L7*1000000/I30,-2)))</f>
        <v>n.a.</v>
      </c>
      <c r="J31" s="64" t="str">
        <f>IF(J30=0,"n.a.",IF($L7="","n.a.",ROUND($L7*1000000/J30,-2)))</f>
        <v>n.a.</v>
      </c>
      <c r="K31" s="53"/>
      <c r="L31" s="72" t="str">
        <f>IF(SUM(G31:K31)=0,"n.a.",SUM(G31:K31))</f>
        <v>n.a.</v>
      </c>
    </row>
    <row r="32" spans="1:12" ht="12">
      <c r="A32" s="29"/>
      <c r="C32" s="345">
        <f>IF(K7&lt;1,"(area di interesse)","")</f>
      </c>
      <c r="D32" s="340" t="s">
        <v>104</v>
      </c>
      <c r="E32" s="73" t="s">
        <v>102</v>
      </c>
      <c r="F32" s="74"/>
      <c r="G32" s="75" t="str">
        <f>IF(G28=0,"n.a.",IF(G31="n.a.","n.a.",G28/G31))</f>
        <v>n.a.</v>
      </c>
      <c r="H32" s="75" t="str">
        <f>IF(H28=0,"n.a.",IF(H31="n.a.","n.a.",H28/H31))</f>
        <v>n.a.</v>
      </c>
      <c r="I32" s="75" t="str">
        <f>IF(I28=0,"n.a.",IF(I31="n.a.","n.a.",I28/I31))</f>
        <v>n.a.</v>
      </c>
      <c r="J32" s="75" t="str">
        <f>IF(J28=0,"n.a.",IF(J31="n.a.","n.a.",J28/J31))</f>
        <v>n.a.</v>
      </c>
      <c r="K32" s="76"/>
      <c r="L32" s="77" t="str">
        <f>IF(L28="n.a.","n.a.",IF(L31="n.a.","n.a.",L28/L31))</f>
        <v>n.a.</v>
      </c>
    </row>
    <row r="33" spans="1:12" ht="12">
      <c r="A33" s="29"/>
      <c r="C33" s="346"/>
      <c r="D33" s="341"/>
      <c r="E33" s="73" t="s">
        <v>103</v>
      </c>
      <c r="F33" s="71"/>
      <c r="G33" s="78" t="str">
        <f>IF(G30=0,"n.a.",IF(G29="n.a.","n.a.",G30/G29))</f>
        <v>n.a.</v>
      </c>
      <c r="H33" s="78" t="str">
        <f>IF(H30=0,"n.a.",IF(H29="n.a.","n.a.",H30/H29))</f>
        <v>n.a.</v>
      </c>
      <c r="I33" s="78" t="str">
        <f>IF(I30=0,"n.a.",IF(I29="n.a.","n.a.",I30/I29))</f>
        <v>n.a.</v>
      </c>
      <c r="J33" s="78" t="str">
        <f>IF(J30=0,"n.a.",IF(J29="n.a.","n.a.",J30/J29))</f>
        <v>n.a.</v>
      </c>
      <c r="K33" s="79"/>
      <c r="L33" s="80" t="str">
        <f>IF(L30="n.a.","n.a.",IF(L29="n.a.","n.a.",L30/L29))</f>
        <v>n.a.</v>
      </c>
    </row>
    <row r="34" spans="1:12" ht="12">
      <c r="A34" s="29"/>
      <c r="B34" s="55" t="s">
        <v>37</v>
      </c>
      <c r="C34" s="63"/>
      <c r="D34" s="66" t="s">
        <v>119</v>
      </c>
      <c r="E34" s="5"/>
      <c r="F34" s="44"/>
      <c r="G34" s="81"/>
      <c r="H34" s="82"/>
      <c r="I34" s="82"/>
      <c r="J34" s="83"/>
      <c r="K34" s="48"/>
      <c r="L34" s="84" t="str">
        <f>IF(OR(SUM(G34:J34)=0,SUM(G30:J30)=0,L35="n.a.",L31="n.a."),"n.a.",L31/L35)</f>
        <v>n.a.</v>
      </c>
    </row>
    <row r="35" spans="3:12" ht="12">
      <c r="C35" s="85"/>
      <c r="D35" s="50" t="s">
        <v>118</v>
      </c>
      <c r="E35" s="41"/>
      <c r="F35" s="51"/>
      <c r="G35" s="86" t="str">
        <f>IF(G34=0,"n.a.",IF(AND(G28=0,G31="n.a."),"n.a.",AVERAGE(G28,G31)/G34))</f>
        <v>n.a.</v>
      </c>
      <c r="H35" s="86" t="str">
        <f>IF(H34=0,"n.a.",IF(AND(H28=0,H31="n.a."),"n.a.",AVERAGE(H28,H31)/H34))</f>
        <v>n.a.</v>
      </c>
      <c r="I35" s="86" t="str">
        <f>IF(I34=0,"n.a.",IF(AND(I28=0,I31="n.a."),"n.a.",AVERAGE(I28,I31)/I34))</f>
        <v>n.a.</v>
      </c>
      <c r="J35" s="86" t="str">
        <f>IF(J34=0,"n.a.",IF(AND(J28=0,J31="n.a."),"n.a.",AVERAGE(J28,J31)/J34))</f>
        <v>n.a.</v>
      </c>
      <c r="K35" s="53"/>
      <c r="L35" s="87" t="str">
        <f>IF(SUM(G34:J34)=0,"n.a.",IF(AND(L28="n.a.",L31="n.a."),"n.a.",SUM(G35:J35)))</f>
        <v>n.a.</v>
      </c>
    </row>
    <row r="38" spans="2:12" ht="12">
      <c r="B38" s="347" t="s">
        <v>112</v>
      </c>
      <c r="C38" s="297"/>
      <c r="D38" s="297"/>
      <c r="E38" s="297"/>
      <c r="F38" s="38" t="s">
        <v>99</v>
      </c>
      <c r="G38" s="39" t="str">
        <f aca="true" t="shared" si="0" ref="G38:L38">IF(G23=0,"",G23)</f>
        <v>Iper</v>
      </c>
      <c r="H38" s="39" t="str">
        <f t="shared" si="0"/>
        <v>Super</v>
      </c>
      <c r="I38" s="39" t="str">
        <f t="shared" si="0"/>
        <v>Super-</v>
      </c>
      <c r="J38" s="39" t="str">
        <f t="shared" si="0"/>
        <v>Dettaglio</v>
      </c>
      <c r="K38" s="38" t="s">
        <v>98</v>
      </c>
      <c r="L38" s="39" t="str">
        <f t="shared" si="0"/>
        <v>Totali</v>
      </c>
    </row>
    <row r="39" spans="2:12" ht="12">
      <c r="B39" s="297"/>
      <c r="C39" s="297"/>
      <c r="D39" s="297"/>
      <c r="E39" s="297"/>
      <c r="F39" s="38"/>
      <c r="G39" s="39" t="str">
        <f aca="true" t="shared" si="1" ref="G39:L39">IF(G24=0,"",G24)</f>
        <v>mercati</v>
      </c>
      <c r="H39" s="39" t="str">
        <f t="shared" si="1"/>
        <v>mercati</v>
      </c>
      <c r="I39" s="39" t="str">
        <f t="shared" si="1"/>
        <v>ettes</v>
      </c>
      <c r="J39" s="39" t="str">
        <f t="shared" si="1"/>
        <v>tradiz.</v>
      </c>
      <c r="K39" s="38"/>
      <c r="L39" s="88" t="str">
        <f t="shared" si="1"/>
        <v>o medie</v>
      </c>
    </row>
    <row r="40" spans="3:5" ht="12">
      <c r="C40" s="41"/>
      <c r="D40" s="41"/>
      <c r="E40" s="41"/>
    </row>
    <row r="41" spans="1:12" ht="12" customHeight="1">
      <c r="A41" s="29"/>
      <c r="B41" s="55" t="s">
        <v>38</v>
      </c>
      <c r="C41" s="336" t="s">
        <v>107</v>
      </c>
      <c r="D41" s="337"/>
      <c r="E41" s="337"/>
      <c r="F41" s="89"/>
      <c r="G41" s="90"/>
      <c r="H41" s="90"/>
      <c r="I41" s="90"/>
      <c r="J41" s="90"/>
      <c r="K41" s="91"/>
      <c r="L41" s="92" t="str">
        <f>IF(SUM(F41:K41)=0,"n.a.",SUM(F41:K41))</f>
        <v>n.a.</v>
      </c>
    </row>
    <row r="42" spans="3:12" ht="12">
      <c r="C42" s="337"/>
      <c r="D42" s="337"/>
      <c r="E42" s="337"/>
      <c r="F42" s="348" t="s">
        <v>122</v>
      </c>
      <c r="G42" s="349"/>
      <c r="H42" s="349"/>
      <c r="I42" s="349"/>
      <c r="J42" s="349"/>
      <c r="K42" s="349"/>
      <c r="L42" s="349"/>
    </row>
    <row r="43" spans="6:12" ht="12">
      <c r="F43" s="349"/>
      <c r="G43" s="349"/>
      <c r="H43" s="349"/>
      <c r="I43" s="349"/>
      <c r="J43" s="349"/>
      <c r="K43" s="349"/>
      <c r="L43" s="349"/>
    </row>
    <row r="44" spans="2:33" ht="12">
      <c r="B44" s="93"/>
      <c r="C44" s="94" t="s">
        <v>97</v>
      </c>
      <c r="D44" s="94"/>
      <c r="E44" s="94"/>
      <c r="F44" s="95" t="str">
        <f>IF(F41&gt;0,F41,IF(OR(F35="n.a.",F35=0),"n.a.",F35))</f>
        <v>n.a.</v>
      </c>
      <c r="G44" s="95" t="str">
        <f>IF(G41&gt;0,G41,IF((G35="n.a."),"n.a.",G35))</f>
        <v>n.a.</v>
      </c>
      <c r="H44" s="95" t="str">
        <f>IF(H41&gt;0,H41,IF((H35="n.a."),"n.a.",H35))</f>
        <v>n.a.</v>
      </c>
      <c r="I44" s="95" t="str">
        <f>IF(I41&gt;0,I41,IF((I35="n.a."),"n.a.",I35))</f>
        <v>n.a.</v>
      </c>
      <c r="J44" s="95" t="str">
        <f>IF(J41&gt;0,J41,IF((J35="n.a."),"n.a.",J35))</f>
        <v>n.a.</v>
      </c>
      <c r="K44" s="95" t="str">
        <f>IF(K41&gt;0,K41,IF(OR(K35="n.a.",K35=0),"n.a.",K35))</f>
        <v>n.a.</v>
      </c>
      <c r="L44" s="96" t="str">
        <f>IF(AND(F44="n.a.",G44="n.a.",H44="n.a.",I44="n.a.",J44="n.a.",K44="n.a."),"n.a.",SUM(F44:K44))</f>
        <v>n.a.</v>
      </c>
      <c r="AF44" s="97"/>
      <c r="AG44" s="98"/>
    </row>
    <row r="45" spans="1:33" ht="12">
      <c r="A45" s="29"/>
      <c r="B45" s="55" t="s">
        <v>51</v>
      </c>
      <c r="C45" s="99" t="s">
        <v>109</v>
      </c>
      <c r="D45" s="33"/>
      <c r="E45" s="33"/>
      <c r="F45" s="100"/>
      <c r="G45" s="101"/>
      <c r="H45" s="101"/>
      <c r="I45" s="101"/>
      <c r="J45" s="101"/>
      <c r="K45" s="102"/>
      <c r="L45" s="103" t="str">
        <f>IF(L44="n.a.","n.a.",IF(SUM(F45:K45)=0,"n.a.",SUMPRODUCT(F45:K45,F44:K44)/L44))</f>
        <v>n.a.</v>
      </c>
      <c r="AF45" s="98"/>
      <c r="AG45" s="104"/>
    </row>
    <row r="46" spans="1:33" ht="12">
      <c r="A46" s="105"/>
      <c r="B46" s="106" t="s">
        <v>128</v>
      </c>
      <c r="C46" s="106"/>
      <c r="D46" s="107"/>
      <c r="E46" s="107"/>
      <c r="F46" s="108" t="str">
        <f aca="true" t="shared" si="2" ref="F46:K46">IF($AG6=0,"n.a.",IF(OR(F44="n.a.",F45=0),"n.a.",F45*F44))</f>
        <v>n.a.</v>
      </c>
      <c r="G46" s="109" t="str">
        <f t="shared" si="2"/>
        <v>n.a.</v>
      </c>
      <c r="H46" s="109" t="str">
        <f t="shared" si="2"/>
        <v>n.a.</v>
      </c>
      <c r="I46" s="109" t="str">
        <f t="shared" si="2"/>
        <v>n.a.</v>
      </c>
      <c r="J46" s="109" t="str">
        <f t="shared" si="2"/>
        <v>n.a.</v>
      </c>
      <c r="K46" s="110" t="str">
        <f t="shared" si="2"/>
        <v>n.a.</v>
      </c>
      <c r="L46" s="111" t="str">
        <f>IF(AG6=0,"n.a.",IF(OR(L45="n.a.",L44="n.a."),"n.a.",SUM(F46:K46)))</f>
        <v>n.a.</v>
      </c>
      <c r="M46" s="112"/>
      <c r="N46" s="112"/>
      <c r="O46" s="112"/>
      <c r="P46" s="112"/>
      <c r="Q46" s="112"/>
      <c r="R46" s="112"/>
      <c r="S46" s="112"/>
      <c r="T46" s="112"/>
      <c r="AF46" s="97"/>
      <c r="AG46" s="104"/>
    </row>
    <row r="47" spans="1:33" ht="12">
      <c r="A47" s="105"/>
      <c r="B47" s="50" t="s">
        <v>69</v>
      </c>
      <c r="C47" s="50"/>
      <c r="D47" s="50"/>
      <c r="E47" s="50"/>
      <c r="F47" s="113" t="str">
        <f aca="true" t="shared" si="3" ref="F47:K47">IF(F46="n.a.","n.a.",IF(OR(F46="n.a.",$L46="n.a."),"n.a.",F46/$L46))</f>
        <v>n.a.</v>
      </c>
      <c r="G47" s="113" t="str">
        <f t="shared" si="3"/>
        <v>n.a.</v>
      </c>
      <c r="H47" s="113" t="str">
        <f t="shared" si="3"/>
        <v>n.a.</v>
      </c>
      <c r="I47" s="113" t="str">
        <f t="shared" si="3"/>
        <v>n.a.</v>
      </c>
      <c r="J47" s="113" t="str">
        <f t="shared" si="3"/>
        <v>n.a.</v>
      </c>
      <c r="K47" s="113" t="str">
        <f t="shared" si="3"/>
        <v>n.a.</v>
      </c>
      <c r="L47" s="114" t="str">
        <f>IF($L46="n.a.","n.a.",L46/$L46)</f>
        <v>n.a.</v>
      </c>
      <c r="AA47" s="115">
        <f aca="true" t="shared" si="4" ref="AA47:AF47">IF(AND(F54&gt;0,F45=0),1,"")</f>
      </c>
      <c r="AB47" s="115">
        <f t="shared" si="4"/>
      </c>
      <c r="AC47" s="115">
        <f t="shared" si="4"/>
      </c>
      <c r="AD47" s="115">
        <f t="shared" si="4"/>
      </c>
      <c r="AE47" s="115">
        <f t="shared" si="4"/>
      </c>
      <c r="AF47" s="115">
        <f t="shared" si="4"/>
      </c>
      <c r="AG47" s="104"/>
    </row>
    <row r="48" spans="2:33" ht="12">
      <c r="B48" s="350">
        <f>IF(AND(AG6=0,SUM(F41:K41,F45:K45,F54:K54,F56:K56,F59:K59)&gt;0),AG14,"")</f>
      </c>
      <c r="C48" s="350"/>
      <c r="D48" s="350"/>
      <c r="E48" s="350"/>
      <c r="F48" s="350"/>
      <c r="G48" s="350"/>
      <c r="H48" s="350"/>
      <c r="I48" s="350"/>
      <c r="J48" s="350"/>
      <c r="K48" s="350"/>
      <c r="L48" s="350"/>
      <c r="AA48" s="115">
        <f aca="true" t="shared" si="5" ref="AA48:AF48">IF(AND(F54&gt;0,F44="n.a."),1,"")</f>
      </c>
      <c r="AB48" s="115">
        <f t="shared" si="5"/>
      </c>
      <c r="AC48" s="115">
        <f t="shared" si="5"/>
      </c>
      <c r="AD48" s="115">
        <f t="shared" si="5"/>
      </c>
      <c r="AE48" s="115">
        <f t="shared" si="5"/>
      </c>
      <c r="AF48" s="115">
        <f t="shared" si="5"/>
      </c>
      <c r="AG48" s="104"/>
    </row>
    <row r="49" spans="2:33" ht="12">
      <c r="B49" s="329" t="s">
        <v>114</v>
      </c>
      <c r="C49" s="297"/>
      <c r="D49" s="297"/>
      <c r="E49" s="297"/>
      <c r="F49" s="39" t="str">
        <f>IF(F38=0,"",F38)</f>
        <v>Ingrosso</v>
      </c>
      <c r="G49" s="39" t="str">
        <f aca="true" t="shared" si="6" ref="G49:L49">IF(G38=0,"",G38)</f>
        <v>Iper</v>
      </c>
      <c r="H49" s="39" t="str">
        <f t="shared" si="6"/>
        <v>Super</v>
      </c>
      <c r="I49" s="39" t="str">
        <f t="shared" si="6"/>
        <v>Super-</v>
      </c>
      <c r="J49" s="39" t="str">
        <f t="shared" si="6"/>
        <v>Dettaglio</v>
      </c>
      <c r="K49" s="39" t="str">
        <f t="shared" si="6"/>
        <v>HORECA</v>
      </c>
      <c r="L49" s="39" t="str">
        <f t="shared" si="6"/>
        <v>Totali</v>
      </c>
      <c r="AF49" s="97"/>
      <c r="AG49" s="104"/>
    </row>
    <row r="50" spans="2:33" ht="12">
      <c r="B50" s="297"/>
      <c r="C50" s="297"/>
      <c r="D50" s="297"/>
      <c r="E50" s="297"/>
      <c r="F50" s="39">
        <f>IF(F39=0,"",F39)</f>
      </c>
      <c r="G50" s="39" t="str">
        <f aca="true" t="shared" si="7" ref="G50:L50">IF(G39=0,"",G39)</f>
        <v>mercati</v>
      </c>
      <c r="H50" s="39" t="str">
        <f t="shared" si="7"/>
        <v>mercati</v>
      </c>
      <c r="I50" s="39" t="str">
        <f t="shared" si="7"/>
        <v>ettes</v>
      </c>
      <c r="J50" s="39" t="str">
        <f t="shared" si="7"/>
        <v>tradiz.</v>
      </c>
      <c r="K50" s="39">
        <f t="shared" si="7"/>
      </c>
      <c r="L50" s="88" t="str">
        <f t="shared" si="7"/>
        <v>o medie</v>
      </c>
      <c r="AA50" s="286">
        <f aca="true" t="shared" si="8" ref="AA50:AF50">IF(F54&gt;F44,1,0)</f>
        <v>0</v>
      </c>
      <c r="AB50" s="284">
        <f t="shared" si="8"/>
        <v>0</v>
      </c>
      <c r="AC50" s="284">
        <f t="shared" si="8"/>
        <v>0</v>
      </c>
      <c r="AD50" s="284">
        <f t="shared" si="8"/>
        <v>0</v>
      </c>
      <c r="AE50" s="284">
        <f t="shared" si="8"/>
        <v>0</v>
      </c>
      <c r="AF50" s="284">
        <f t="shared" si="8"/>
        <v>0</v>
      </c>
      <c r="AG50" s="1">
        <f>SUM(AA50:AF50)</f>
        <v>0</v>
      </c>
    </row>
    <row r="51" spans="3:33" ht="12">
      <c r="C51" s="116"/>
      <c r="D51" s="116"/>
      <c r="E51" s="116"/>
      <c r="F51" s="323">
        <f>IF(OR(SUM(AA48:AF48)&gt;0,SUM(AA47:AF47)&gt;0),AG11,"")</f>
      </c>
      <c r="G51" s="324"/>
      <c r="H51" s="324"/>
      <c r="I51" s="324"/>
      <c r="J51" s="324"/>
      <c r="K51" s="324"/>
      <c r="L51" s="324"/>
      <c r="AA51" s="286">
        <f aca="true" t="shared" si="9" ref="AA51:AF51">IF(AND(F54&gt;0,F44="n.a."),1,0)</f>
        <v>0</v>
      </c>
      <c r="AB51" s="286">
        <f t="shared" si="9"/>
        <v>0</v>
      </c>
      <c r="AC51" s="286">
        <f t="shared" si="9"/>
        <v>0</v>
      </c>
      <c r="AD51" s="286">
        <f t="shared" si="9"/>
        <v>0</v>
      </c>
      <c r="AE51" s="286">
        <f t="shared" si="9"/>
        <v>0</v>
      </c>
      <c r="AF51" s="286">
        <f t="shared" si="9"/>
        <v>0</v>
      </c>
      <c r="AG51" s="1">
        <f>SUM(AA51:AF51)</f>
        <v>0</v>
      </c>
    </row>
    <row r="52" spans="3:37" s="5" customFormat="1" ht="12">
      <c r="C52" s="326" t="s">
        <v>113</v>
      </c>
      <c r="D52" s="327"/>
      <c r="E52" s="327"/>
      <c r="F52" s="324"/>
      <c r="G52" s="324"/>
      <c r="H52" s="324"/>
      <c r="I52" s="324"/>
      <c r="J52" s="324"/>
      <c r="K52" s="324"/>
      <c r="L52" s="324"/>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s="5" customFormat="1" ht="12">
      <c r="A53" s="29"/>
      <c r="B53" s="55"/>
      <c r="C53" s="328"/>
      <c r="D53" s="328"/>
      <c r="E53" s="328"/>
      <c r="F53" s="325"/>
      <c r="G53" s="325"/>
      <c r="H53" s="325"/>
      <c r="I53" s="325"/>
      <c r="J53" s="325"/>
      <c r="K53" s="325"/>
      <c r="L53" s="325"/>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12" ht="12">
      <c r="A54" s="29"/>
      <c r="B54" s="55" t="s">
        <v>55</v>
      </c>
      <c r="C54" s="34" t="s">
        <v>70</v>
      </c>
      <c r="D54" s="117"/>
      <c r="E54" s="117"/>
      <c r="F54" s="118"/>
      <c r="G54" s="119"/>
      <c r="H54" s="119"/>
      <c r="I54" s="119"/>
      <c r="J54" s="119"/>
      <c r="K54" s="120"/>
      <c r="L54" s="121" t="str">
        <f>IF(OR(AG50&gt;0,SUM(F54:K54)=0),"n.a.",SUM(F54:K54))</f>
        <v>n.a.</v>
      </c>
    </row>
    <row r="55" spans="3:37" s="4" customFormat="1" ht="12">
      <c r="C55" s="122" t="s">
        <v>115</v>
      </c>
      <c r="D55" s="123"/>
      <c r="E55" s="124"/>
      <c r="F55" s="125" t="str">
        <f aca="true" t="shared" si="10" ref="F55:K55">IF(OR(F54=0,F44="n.a."),"n.a.",F54/F44)</f>
        <v>n.a.</v>
      </c>
      <c r="G55" s="125" t="str">
        <f t="shared" si="10"/>
        <v>n.a.</v>
      </c>
      <c r="H55" s="125" t="str">
        <f t="shared" si="10"/>
        <v>n.a.</v>
      </c>
      <c r="I55" s="125" t="str">
        <f t="shared" si="10"/>
        <v>n.a.</v>
      </c>
      <c r="J55" s="125" t="str">
        <f t="shared" si="10"/>
        <v>n.a.</v>
      </c>
      <c r="K55" s="125" t="str">
        <f t="shared" si="10"/>
        <v>n.a.</v>
      </c>
      <c r="L55" s="125" t="str">
        <f>IF(OR(L54="n.a.",L44="n.a.",AG55=0),"n.a.",L54/L44)</f>
        <v>n.a.</v>
      </c>
      <c r="AA55" s="286">
        <f aca="true" t="shared" si="11" ref="AA55:AF55">IF(F55="n.a.",0,1)</f>
        <v>0</v>
      </c>
      <c r="AB55" s="286">
        <f t="shared" si="11"/>
        <v>0</v>
      </c>
      <c r="AC55" s="286">
        <f t="shared" si="11"/>
        <v>0</v>
      </c>
      <c r="AD55" s="286">
        <f t="shared" si="11"/>
        <v>0</v>
      </c>
      <c r="AE55" s="286">
        <f t="shared" si="11"/>
        <v>0</v>
      </c>
      <c r="AF55" s="286">
        <f t="shared" si="11"/>
        <v>0</v>
      </c>
      <c r="AG55" s="1">
        <f>SUM(AA55:AF55)</f>
        <v>0</v>
      </c>
      <c r="AH55" s="1"/>
      <c r="AI55" s="1"/>
      <c r="AJ55" s="1"/>
      <c r="AK55" s="1"/>
    </row>
    <row r="56" spans="1:12" ht="12">
      <c r="A56" s="29"/>
      <c r="B56" s="55" t="s">
        <v>123</v>
      </c>
      <c r="C56" s="99" t="s">
        <v>71</v>
      </c>
      <c r="D56" s="117"/>
      <c r="E56" s="117"/>
      <c r="F56" s="81"/>
      <c r="G56" s="82"/>
      <c r="H56" s="82"/>
      <c r="I56" s="82"/>
      <c r="J56" s="82"/>
      <c r="K56" s="83"/>
      <c r="L56" s="126" t="str">
        <f>IF(L54="n.a.","n.a.",IF(OR(SUM(F56:K56)=0,SUMPRODUCT(F54:K54,F56:K56)/L54=0),"n.a.",SUMPRODUCT(F54:K54,F56:K56)/L54))</f>
        <v>n.a.</v>
      </c>
    </row>
    <row r="57" spans="3:33" ht="12">
      <c r="C57" s="127" t="s">
        <v>72</v>
      </c>
      <c r="D57" s="127"/>
      <c r="E57" s="127"/>
      <c r="F57" s="128" t="str">
        <f aca="true" t="shared" si="12" ref="F57:K57">IF(OR(F56=0,F54=0,F55&gt;1),"n.a.",F56*F54)</f>
        <v>n.a.</v>
      </c>
      <c r="G57" s="128" t="str">
        <f t="shared" si="12"/>
        <v>n.a.</v>
      </c>
      <c r="H57" s="128" t="str">
        <f t="shared" si="12"/>
        <v>n.a.</v>
      </c>
      <c r="I57" s="128" t="str">
        <f t="shared" si="12"/>
        <v>n.a.</v>
      </c>
      <c r="J57" s="128" t="str">
        <f t="shared" si="12"/>
        <v>n.a.</v>
      </c>
      <c r="K57" s="128" t="str">
        <f t="shared" si="12"/>
        <v>n.a.</v>
      </c>
      <c r="L57" s="129" t="str">
        <f>IF(OR(L54="n.a.",L56="n.a.",AG50&gt;0,AG57=0,),"n.a.",SUM(F57:K57))</f>
        <v>n.a.</v>
      </c>
      <c r="AA57" s="286">
        <f aca="true" t="shared" si="13" ref="AA57:AF57">IF(F57="n.a.",0,1)</f>
        <v>0</v>
      </c>
      <c r="AB57" s="286">
        <f t="shared" si="13"/>
        <v>0</v>
      </c>
      <c r="AC57" s="286">
        <f t="shared" si="13"/>
        <v>0</v>
      </c>
      <c r="AD57" s="286">
        <f t="shared" si="13"/>
        <v>0</v>
      </c>
      <c r="AE57" s="286">
        <f t="shared" si="13"/>
        <v>0</v>
      </c>
      <c r="AF57" s="286">
        <f t="shared" si="13"/>
        <v>0</v>
      </c>
      <c r="AG57" s="1">
        <f>SUM(AA57:AF57)</f>
        <v>0</v>
      </c>
    </row>
    <row r="58" spans="3:33" ht="12">
      <c r="C58" s="283">
        <f>IF((AG50+AG51)&gt;0,AG16,"")</f>
      </c>
      <c r="D58" s="130"/>
      <c r="E58" s="130"/>
      <c r="F58" s="130"/>
      <c r="G58" s="130"/>
      <c r="H58" s="130"/>
      <c r="I58" s="130"/>
      <c r="J58" s="130"/>
      <c r="K58" s="130"/>
      <c r="L58" s="130"/>
      <c r="AF58" s="97"/>
      <c r="AG58" s="104"/>
    </row>
    <row r="59" spans="1:33" ht="12">
      <c r="A59" s="29"/>
      <c r="B59" s="55" t="s">
        <v>124</v>
      </c>
      <c r="C59" s="99" t="s">
        <v>120</v>
      </c>
      <c r="D59" s="117"/>
      <c r="E59" s="117"/>
      <c r="F59" s="131"/>
      <c r="G59" s="132"/>
      <c r="H59" s="133"/>
      <c r="I59" s="133"/>
      <c r="J59" s="133"/>
      <c r="K59" s="134"/>
      <c r="L59" s="126" t="str">
        <f>IF(OR(L57="n.a.",L57=0,L60="n.a."),"n.a.",L57/L60)</f>
        <v>n.a.</v>
      </c>
      <c r="AF59" s="98"/>
      <c r="AG59" s="104"/>
    </row>
    <row r="60" spans="3:33" ht="12">
      <c r="C60" s="50" t="s">
        <v>73</v>
      </c>
      <c r="D60" s="50"/>
      <c r="E60" s="50"/>
      <c r="F60" s="135" t="str">
        <f aca="true" t="shared" si="14" ref="F60:K60">IF(OR(F59=0,F57="n.a."),"n.a.",F57/F59)</f>
        <v>n.a.</v>
      </c>
      <c r="G60" s="136" t="str">
        <f t="shared" si="14"/>
        <v>n.a.</v>
      </c>
      <c r="H60" s="135" t="str">
        <f t="shared" si="14"/>
        <v>n.a.</v>
      </c>
      <c r="I60" s="135" t="str">
        <f t="shared" si="14"/>
        <v>n.a.</v>
      </c>
      <c r="J60" s="135" t="str">
        <f t="shared" si="14"/>
        <v>n.a.</v>
      </c>
      <c r="K60" s="135" t="str">
        <f t="shared" si="14"/>
        <v>n.a.</v>
      </c>
      <c r="L60" s="137" t="str">
        <f>IF(OR(L54="n.a.",SUM(F59:K59)=0,AG60=0),"n.a.",SUM(F60:K60))</f>
        <v>n.a.</v>
      </c>
      <c r="AA60" s="286">
        <f aca="true" t="shared" si="15" ref="AA60:AF60">IF(F60="n.a.",0,1)</f>
        <v>0</v>
      </c>
      <c r="AB60" s="286">
        <f t="shared" si="15"/>
        <v>0</v>
      </c>
      <c r="AC60" s="286">
        <f t="shared" si="15"/>
        <v>0</v>
      </c>
      <c r="AD60" s="286">
        <f t="shared" si="15"/>
        <v>0</v>
      </c>
      <c r="AE60" s="286">
        <f t="shared" si="15"/>
        <v>0</v>
      </c>
      <c r="AF60" s="286">
        <f t="shared" si="15"/>
        <v>0</v>
      </c>
      <c r="AG60" s="1">
        <f>SUM(AA60:AF60)</f>
        <v>0</v>
      </c>
    </row>
    <row r="61" spans="2:33" ht="12">
      <c r="B61" s="334">
        <f>IF(AND(AA61&gt;0,L60="n.a."),AG18,"")</f>
      </c>
      <c r="C61" s="335"/>
      <c r="D61" s="335"/>
      <c r="E61" s="335"/>
      <c r="F61" s="335"/>
      <c r="G61" s="335"/>
      <c r="H61" s="335"/>
      <c r="I61" s="335"/>
      <c r="J61" s="335"/>
      <c r="K61" s="335"/>
      <c r="L61" s="335"/>
      <c r="AA61" s="292">
        <f>SUM(G28:J28)+SUM(G30:J30)+SUM(G34:J34)+SUM(F41:K41)+SUM(F45:K45)+SUM(F54:K54)+SUM(F56:K56)+SUM(F59:K59)+L62+L63</f>
        <v>0</v>
      </c>
      <c r="AF61" s="98"/>
      <c r="AG61" s="98"/>
    </row>
    <row r="62" spans="1:33" ht="12">
      <c r="A62" s="29"/>
      <c r="B62" s="55" t="s">
        <v>125</v>
      </c>
      <c r="C62" s="99" t="s">
        <v>74</v>
      </c>
      <c r="D62" s="117"/>
      <c r="E62" s="117"/>
      <c r="F62" s="12"/>
      <c r="G62" s="12"/>
      <c r="H62" s="12"/>
      <c r="I62" s="12"/>
      <c r="J62" s="12"/>
      <c r="K62" s="12"/>
      <c r="L62" s="287"/>
      <c r="AF62" s="97"/>
      <c r="AG62" s="104"/>
    </row>
    <row r="63" spans="1:33" ht="12">
      <c r="A63" s="29"/>
      <c r="B63" s="55" t="s">
        <v>126</v>
      </c>
      <c r="C63" s="34" t="s">
        <v>75</v>
      </c>
      <c r="D63" s="117"/>
      <c r="E63" s="117"/>
      <c r="F63" s="12"/>
      <c r="G63" s="34">
        <f>IF(K7&lt;1,"nell'area di interesse","")</f>
      </c>
      <c r="H63" s="12"/>
      <c r="I63" s="12"/>
      <c r="J63" s="12"/>
      <c r="K63" s="12"/>
      <c r="L63" s="138"/>
      <c r="AF63" s="98"/>
      <c r="AG63" s="104"/>
    </row>
    <row r="64" spans="3:33" ht="12">
      <c r="C64" s="33" t="s">
        <v>116</v>
      </c>
      <c r="D64" s="33"/>
      <c r="E64" s="33"/>
      <c r="F64" s="12"/>
      <c r="G64" s="344">
        <f>IF(AND(AG6=0,SUM(L62,L63)&gt;0),AG14,"")</f>
      </c>
      <c r="H64" s="344"/>
      <c r="I64" s="344"/>
      <c r="J64" s="344"/>
      <c r="K64" s="344"/>
      <c r="L64" s="139" t="str">
        <f>IF(OR(L60="n.a.",L62=0),"n.a.",IF((L62*L63-L60)&lt;0,0,L62*L63-L60))</f>
        <v>n.a.</v>
      </c>
      <c r="AF64" s="97"/>
      <c r="AG64" s="104"/>
    </row>
    <row r="65" spans="3:33" ht="12">
      <c r="C65" s="140" t="s">
        <v>117</v>
      </c>
      <c r="D65" s="50"/>
      <c r="E65" s="50"/>
      <c r="F65" s="141"/>
      <c r="G65" s="325"/>
      <c r="H65" s="325"/>
      <c r="I65" s="325"/>
      <c r="J65" s="325"/>
      <c r="K65" s="325"/>
      <c r="L65" s="142" t="str">
        <f>IF(OR(L60="n.a.",L62=0),"n.a.",IF((L62*L63-L60)&gt;0,0,L62*L63-L60))</f>
        <v>n.a.</v>
      </c>
      <c r="AF65" s="98"/>
      <c r="AG65" s="104"/>
    </row>
    <row r="66" spans="3:33" ht="12">
      <c r="C66" s="12"/>
      <c r="D66" s="12"/>
      <c r="E66" s="12"/>
      <c r="F66" s="12"/>
      <c r="G66" s="12"/>
      <c r="H66" s="12"/>
      <c r="I66" s="12"/>
      <c r="J66" s="12"/>
      <c r="K66" s="12"/>
      <c r="L66" s="12"/>
      <c r="AF66" s="97"/>
      <c r="AG66" s="104"/>
    </row>
    <row r="67" spans="2:33" ht="12">
      <c r="B67" s="330" t="s">
        <v>127</v>
      </c>
      <c r="C67" s="331"/>
      <c r="D67" s="331"/>
      <c r="E67" s="332"/>
      <c r="F67" s="321" t="str">
        <f aca="true" t="shared" si="16" ref="F67:K67">IF($AG6=0,"n.a.",IF(OR(F54=0,F45=0),"n.a.",IF($L65=0,F54*F45,"n.a.")))</f>
        <v>n.a.</v>
      </c>
      <c r="G67" s="321" t="str">
        <f t="shared" si="16"/>
        <v>n.a.</v>
      </c>
      <c r="H67" s="321" t="str">
        <f t="shared" si="16"/>
        <v>n.a.</v>
      </c>
      <c r="I67" s="321" t="str">
        <f t="shared" si="16"/>
        <v>n.a.</v>
      </c>
      <c r="J67" s="321" t="str">
        <f t="shared" si="16"/>
        <v>n.a.</v>
      </c>
      <c r="K67" s="321" t="str">
        <f t="shared" si="16"/>
        <v>n.a.</v>
      </c>
      <c r="L67" s="342" t="str">
        <f>IF(AG6=0,"n.a.",IF(SUM(F67:K67)=0,"n.a.",IF($L65=0,SUM(F67:K67),"n.a.")))</f>
        <v>n.a.</v>
      </c>
      <c r="AF67" s="98"/>
      <c r="AG67" s="104"/>
    </row>
    <row r="68" spans="2:33" ht="12">
      <c r="B68" s="333"/>
      <c r="C68" s="331"/>
      <c r="D68" s="331"/>
      <c r="E68" s="332"/>
      <c r="F68" s="322"/>
      <c r="G68" s="322"/>
      <c r="H68" s="322"/>
      <c r="I68" s="322"/>
      <c r="J68" s="322"/>
      <c r="K68" s="322"/>
      <c r="L68" s="343"/>
      <c r="AF68" s="97"/>
      <c r="AG68" s="104"/>
    </row>
    <row r="69" spans="2:33" ht="12">
      <c r="B69" s="127" t="s">
        <v>69</v>
      </c>
      <c r="C69" s="127"/>
      <c r="D69" s="50"/>
      <c r="E69" s="50"/>
      <c r="F69" s="113" t="str">
        <f aca="true" t="shared" si="17" ref="F69:K69">IF(F67="n.a.","n.a.",IF($L67="n.a.","n.a.",F67/$L67))</f>
        <v>n.a.</v>
      </c>
      <c r="G69" s="113" t="str">
        <f t="shared" si="17"/>
        <v>n.a.</v>
      </c>
      <c r="H69" s="113" t="str">
        <f t="shared" si="17"/>
        <v>n.a.</v>
      </c>
      <c r="I69" s="113" t="str">
        <f t="shared" si="17"/>
        <v>n.a.</v>
      </c>
      <c r="J69" s="113" t="str">
        <f t="shared" si="17"/>
        <v>n.a.</v>
      </c>
      <c r="K69" s="113" t="str">
        <f t="shared" si="17"/>
        <v>n.a.</v>
      </c>
      <c r="L69" s="113" t="str">
        <f>IF($L67="n.a.","n.a.",L67/$L67)</f>
        <v>n.a.</v>
      </c>
      <c r="AF69" s="98"/>
      <c r="AG69" s="104"/>
    </row>
    <row r="70" spans="32:33" ht="12">
      <c r="AF70" s="97"/>
      <c r="AG70" s="104"/>
    </row>
    <row r="71" spans="32:33" ht="12">
      <c r="AF71" s="98"/>
      <c r="AG71" s="104"/>
    </row>
    <row r="72" spans="32:33" ht="12">
      <c r="AF72" s="97"/>
      <c r="AG72" s="104"/>
    </row>
    <row r="73" spans="32:33" ht="12">
      <c r="AF73" s="98"/>
      <c r="AG73" s="104"/>
    </row>
    <row r="74" spans="32:33" ht="12">
      <c r="AF74" s="97"/>
      <c r="AG74" s="104"/>
    </row>
    <row r="75" spans="32:33" ht="12">
      <c r="AF75" s="98"/>
      <c r="AG75" s="104"/>
    </row>
    <row r="76" spans="32:33" ht="12">
      <c r="AF76" s="97"/>
      <c r="AG76" s="104"/>
    </row>
    <row r="77" spans="32:33" ht="12">
      <c r="AF77" s="98"/>
      <c r="AG77" s="104"/>
    </row>
    <row r="78" spans="32:33" ht="12">
      <c r="AF78" s="97"/>
      <c r="AG78" s="143"/>
    </row>
    <row r="79" spans="32:33" ht="12">
      <c r="AF79" s="144"/>
      <c r="AG79" s="143"/>
    </row>
    <row r="80" spans="32:33" ht="12">
      <c r="AF80" s="144"/>
      <c r="AG80" s="144"/>
    </row>
    <row r="83" ht="12">
      <c r="A83" s="4"/>
    </row>
  </sheetData>
  <sheetProtection sheet="1" objects="1" scenarios="1"/>
  <mergeCells count="30">
    <mergeCell ref="C9:L10"/>
    <mergeCell ref="C30:C31"/>
    <mergeCell ref="B3:L4"/>
    <mergeCell ref="E6:F6"/>
    <mergeCell ref="I6:K6"/>
    <mergeCell ref="I7:J7"/>
    <mergeCell ref="H6:H7"/>
    <mergeCell ref="C11:L13"/>
    <mergeCell ref="C18:L21"/>
    <mergeCell ref="B23:F24"/>
    <mergeCell ref="C41:E42"/>
    <mergeCell ref="C26:C27"/>
    <mergeCell ref="D32:D33"/>
    <mergeCell ref="L67:L68"/>
    <mergeCell ref="G64:K65"/>
    <mergeCell ref="H67:H68"/>
    <mergeCell ref="C32:C33"/>
    <mergeCell ref="B38:E39"/>
    <mergeCell ref="F42:L43"/>
    <mergeCell ref="B48:L48"/>
    <mergeCell ref="K67:K68"/>
    <mergeCell ref="F51:L53"/>
    <mergeCell ref="C52:E53"/>
    <mergeCell ref="B49:E50"/>
    <mergeCell ref="I67:I68"/>
    <mergeCell ref="J67:J68"/>
    <mergeCell ref="F67:F68"/>
    <mergeCell ref="G67:G68"/>
    <mergeCell ref="B67:E68"/>
    <mergeCell ref="B61:L61"/>
  </mergeCells>
  <conditionalFormatting sqref="L65">
    <cfRule type="cellIs" priority="1" dxfId="0" operator="lessThan" stopIfTrue="1">
      <formula>0</formula>
    </cfRule>
  </conditionalFormatting>
  <printOptions/>
  <pageMargins left="0.3937007874015748" right="0.3937007874015748" top="0.3937007874015748" bottom="0.3937007874015748" header="0.5118110236220472" footer="0.5118110236220472"/>
  <pageSetup fitToHeight="3" fitToWidth="1" orientation="portrait" paperSize="9" r:id="rId4"/>
  <drawing r:id="rId3"/>
  <legacyDrawing r:id="rId2"/>
  <oleObjects>
    <oleObject progId="MSPhotoEd.3" shapeId="344827" r:id="rId1"/>
  </oleObjects>
</worksheet>
</file>

<file path=xl/worksheets/sheet5.xml><?xml version="1.0" encoding="utf-8"?>
<worksheet xmlns="http://schemas.openxmlformats.org/spreadsheetml/2006/main" xmlns:r="http://schemas.openxmlformats.org/officeDocument/2006/relationships">
  <sheetPr codeName="Foglio13">
    <pageSetUpPr fitToPage="1"/>
  </sheetPr>
  <dimension ref="A1:BY103"/>
  <sheetViews>
    <sheetView showGridLines="0" showRowColHeaders="0" workbookViewId="0" topLeftCell="A18">
      <selection activeCell="A1" sqref="A1"/>
    </sheetView>
  </sheetViews>
  <sheetFormatPr defaultColWidth="9.140625" defaultRowHeight="11.25"/>
  <cols>
    <col min="1" max="1" width="3.7109375" style="12" customWidth="1"/>
    <col min="2" max="2" width="2.57421875" style="12" customWidth="1"/>
    <col min="3" max="7" width="4.7109375" style="12" customWidth="1"/>
    <col min="8" max="8" width="3.28125" style="12" customWidth="1"/>
    <col min="9" max="9" width="3.57421875" style="12" customWidth="1"/>
    <col min="10" max="10" width="4.7109375" style="12" customWidth="1"/>
    <col min="11" max="11" width="5.421875" style="12" customWidth="1"/>
    <col min="12" max="12" width="4.28125" style="12" customWidth="1"/>
    <col min="13" max="13" width="3.00390625" style="12" customWidth="1"/>
    <col min="14" max="14" width="6.8515625" style="12" customWidth="1"/>
    <col min="15" max="15" width="5.140625" style="12" customWidth="1"/>
    <col min="16" max="16" width="5.57421875" style="12" customWidth="1"/>
    <col min="17" max="17" width="4.7109375" style="12" customWidth="1"/>
    <col min="18" max="18" width="5.7109375" style="12" customWidth="1"/>
    <col min="19" max="19" width="3.00390625" style="12" customWidth="1"/>
    <col min="20" max="20" width="6.421875" style="12" customWidth="1"/>
    <col min="21" max="21" width="3.7109375" style="12" customWidth="1"/>
    <col min="22" max="22" width="4.8515625" style="12" customWidth="1"/>
    <col min="23" max="23" width="7.28125" style="12" customWidth="1"/>
    <col min="24" max="36" width="4.7109375" style="12" customWidth="1"/>
    <col min="37" max="37" width="7.421875" style="12" customWidth="1"/>
    <col min="38" max="39" width="6.421875" style="12" customWidth="1"/>
    <col min="40" max="40" width="10.140625" style="12" customWidth="1"/>
    <col min="41" max="41" width="17.28125" style="12" customWidth="1"/>
    <col min="42" max="42" width="4.7109375" style="12" customWidth="1"/>
    <col min="43" max="43" width="14.28125" style="12" customWidth="1"/>
    <col min="44" max="56" width="4.7109375" style="12" customWidth="1"/>
    <col min="57" max="57" width="5.140625" style="12" customWidth="1"/>
    <col min="58" max="58" width="6.57421875" style="12" customWidth="1"/>
    <col min="59" max="62" width="4.7109375" style="12" customWidth="1"/>
    <col min="63" max="63" width="5.28125" style="12" customWidth="1"/>
    <col min="64" max="67" width="4.7109375" style="12" customWidth="1"/>
    <col min="68" max="68" width="8.140625" style="12" customWidth="1"/>
    <col min="69" max="69" width="4.7109375" style="12" customWidth="1"/>
    <col min="70" max="70" width="6.28125" style="12" customWidth="1"/>
    <col min="71" max="74" width="4.7109375" style="12" customWidth="1"/>
    <col min="75" max="75" width="7.57421875" style="12" customWidth="1"/>
    <col min="76" max="76" width="6.140625" style="12" customWidth="1"/>
    <col min="77" max="77" width="4.7109375" style="12" customWidth="1"/>
    <col min="78" max="16384" width="9.140625" style="12" customWidth="1"/>
  </cols>
  <sheetData>
    <row r="1" spans="19:23" ht="56.25" customHeight="1">
      <c r="S1" s="13"/>
      <c r="T1" s="13"/>
      <c r="U1" s="13"/>
      <c r="V1" s="13"/>
      <c r="W1" s="13"/>
    </row>
    <row r="2" s="13" customFormat="1" ht="15" customHeight="1">
      <c r="AP2" s="14" t="s">
        <v>196</v>
      </c>
    </row>
    <row r="3" spans="2:42" ht="15" customHeight="1">
      <c r="B3" s="394" t="s">
        <v>94</v>
      </c>
      <c r="C3" s="395"/>
      <c r="D3" s="395"/>
      <c r="E3" s="395"/>
      <c r="F3" s="395"/>
      <c r="G3" s="395"/>
      <c r="H3" s="395"/>
      <c r="I3" s="395"/>
      <c r="J3" s="395"/>
      <c r="K3" s="395"/>
      <c r="L3" s="395"/>
      <c r="M3" s="395"/>
      <c r="N3" s="395"/>
      <c r="O3" s="395"/>
      <c r="P3" s="395"/>
      <c r="Q3" s="395"/>
      <c r="R3" s="395"/>
      <c r="S3" s="395"/>
      <c r="T3" s="395"/>
      <c r="U3" s="395"/>
      <c r="V3" s="395"/>
      <c r="W3" s="395"/>
      <c r="AP3" s="33" t="s">
        <v>197</v>
      </c>
    </row>
    <row r="4" spans="2:42" ht="15" customHeight="1">
      <c r="B4" s="394"/>
      <c r="C4" s="395"/>
      <c r="D4" s="395"/>
      <c r="E4" s="395"/>
      <c r="F4" s="395"/>
      <c r="G4" s="395"/>
      <c r="H4" s="395"/>
      <c r="I4" s="395"/>
      <c r="J4" s="395"/>
      <c r="K4" s="395"/>
      <c r="L4" s="395"/>
      <c r="M4" s="395"/>
      <c r="N4" s="395"/>
      <c r="O4" s="395"/>
      <c r="P4" s="395"/>
      <c r="Q4" s="395"/>
      <c r="R4" s="395"/>
      <c r="S4" s="395"/>
      <c r="T4" s="395"/>
      <c r="U4" s="395"/>
      <c r="V4" s="395"/>
      <c r="W4" s="395"/>
      <c r="AP4" s="33" t="s">
        <v>177</v>
      </c>
    </row>
    <row r="5" spans="2:23" ht="15" customHeight="1">
      <c r="B5" s="177"/>
      <c r="C5" s="177"/>
      <c r="D5" s="177"/>
      <c r="E5" s="177"/>
      <c r="F5" s="177"/>
      <c r="G5" s="177"/>
      <c r="H5" s="177"/>
      <c r="I5" s="177"/>
      <c r="J5" s="177"/>
      <c r="K5" s="177"/>
      <c r="L5" s="177"/>
      <c r="M5" s="177"/>
      <c r="N5" s="177"/>
      <c r="O5" s="177"/>
      <c r="P5" s="177"/>
      <c r="Q5" s="177"/>
      <c r="R5" s="177"/>
      <c r="S5" s="177"/>
      <c r="T5" s="177"/>
      <c r="U5" s="177"/>
      <c r="V5" s="177"/>
      <c r="W5" s="177"/>
    </row>
    <row r="6" spans="2:23" ht="15" customHeight="1">
      <c r="B6" s="19" t="s">
        <v>84</v>
      </c>
      <c r="H6" s="401">
        <f>IF(AO7=0,"",AO7)</f>
      </c>
      <c r="I6" s="402"/>
      <c r="J6" s="402"/>
      <c r="K6" s="402"/>
      <c r="L6" s="403"/>
      <c r="N6" s="178"/>
      <c r="O6" s="357" t="s">
        <v>79</v>
      </c>
      <c r="P6" s="407" t="s">
        <v>86</v>
      </c>
      <c r="Q6" s="408"/>
      <c r="R6" s="408"/>
      <c r="S6" s="408"/>
      <c r="T6" s="409"/>
      <c r="U6" s="359">
        <f>IF(contesto!J16="","",contesto!J16)</f>
      </c>
      <c r="V6" s="360"/>
      <c r="W6" s="361"/>
    </row>
    <row r="7" spans="8:43" ht="15" customHeight="1">
      <c r="H7" s="362" t="s">
        <v>136</v>
      </c>
      <c r="I7" s="363"/>
      <c r="J7" s="364"/>
      <c r="K7" s="365">
        <f>IF(contesto!$H$10=0,"",contesto!$H$10)</f>
      </c>
      <c r="L7" s="366"/>
      <c r="O7" s="358"/>
      <c r="P7" s="404" t="s">
        <v>85</v>
      </c>
      <c r="Q7" s="405"/>
      <c r="R7" s="405"/>
      <c r="S7" s="406"/>
      <c r="T7" s="22">
        <f>IF(AO7=0,"",IF(contesto!AC24=0,1,contesto!AC24))</f>
      </c>
      <c r="U7" s="359">
        <f>IF(U6="","",U6*T7)</f>
      </c>
      <c r="V7" s="360"/>
      <c r="W7" s="361"/>
      <c r="AN7" s="31"/>
      <c r="AO7" s="21">
        <f>contesto!AB21</f>
        <v>0</v>
      </c>
      <c r="AP7" s="98">
        <v>1</v>
      </c>
      <c r="AQ7" s="179">
        <f>VLOOKUP(AP7,AR$22:AS$44,2)</f>
        <v>0</v>
      </c>
    </row>
    <row r="8" spans="1:43" ht="14.25" customHeight="1">
      <c r="A8" s="29"/>
      <c r="B8" s="367">
        <f>IF(AND(AO7=0,SUM(U14,Q26,U26,U38)&gt;0),AP4,"")</f>
      </c>
      <c r="C8" s="367"/>
      <c r="D8" s="367"/>
      <c r="E8" s="367"/>
      <c r="F8" s="367"/>
      <c r="G8" s="367"/>
      <c r="H8" s="367"/>
      <c r="I8" s="367"/>
      <c r="J8" s="367"/>
      <c r="K8" s="367"/>
      <c r="L8" s="367"/>
      <c r="M8" s="367"/>
      <c r="N8" s="367"/>
      <c r="O8" s="367"/>
      <c r="P8" s="367"/>
      <c r="Q8" s="367"/>
      <c r="R8" s="367"/>
      <c r="S8" s="367"/>
      <c r="T8" s="367"/>
      <c r="U8"/>
      <c r="V8"/>
      <c r="W8"/>
      <c r="AO8" s="26" t="s">
        <v>282</v>
      </c>
      <c r="AP8" s="98">
        <v>1</v>
      </c>
      <c r="AQ8" s="179">
        <f>VLOOKUP(AP8,AR$22:AS$44,2)</f>
        <v>0</v>
      </c>
    </row>
    <row r="9" spans="1:43" ht="14.25" customHeight="1">
      <c r="A9" s="29"/>
      <c r="B9" s="30" t="s">
        <v>164</v>
      </c>
      <c r="C9" s="312" t="s">
        <v>189</v>
      </c>
      <c r="D9" s="293"/>
      <c r="E9" s="293"/>
      <c r="F9" s="293"/>
      <c r="G9" s="293"/>
      <c r="H9" s="293"/>
      <c r="I9" s="293"/>
      <c r="J9" s="293"/>
      <c r="K9" s="293"/>
      <c r="L9" s="293"/>
      <c r="M9" s="293"/>
      <c r="N9" s="293"/>
      <c r="O9" s="293"/>
      <c r="P9" s="293"/>
      <c r="Q9" s="293"/>
      <c r="R9" s="293"/>
      <c r="S9" s="293"/>
      <c r="T9" s="293"/>
      <c r="U9" s="293"/>
      <c r="V9" s="293"/>
      <c r="W9" s="293"/>
      <c r="AO9" s="28" t="s">
        <v>95</v>
      </c>
      <c r="AP9" s="98">
        <v>1</v>
      </c>
      <c r="AQ9" s="179">
        <f>VLOOKUP(AP9,AR$22:AS$44,2)</f>
        <v>0</v>
      </c>
    </row>
    <row r="10" spans="2:75" ht="14.25" customHeight="1">
      <c r="B10" s="1"/>
      <c r="C10" s="293"/>
      <c r="D10" s="293"/>
      <c r="E10" s="293"/>
      <c r="F10" s="293"/>
      <c r="G10" s="293"/>
      <c r="H10" s="293"/>
      <c r="I10" s="293"/>
      <c r="J10" s="293"/>
      <c r="K10" s="293"/>
      <c r="L10" s="293"/>
      <c r="M10" s="293"/>
      <c r="N10" s="293"/>
      <c r="O10" s="293"/>
      <c r="P10" s="293"/>
      <c r="Q10" s="293"/>
      <c r="R10" s="293"/>
      <c r="S10" s="293"/>
      <c r="T10" s="293"/>
      <c r="U10" s="293"/>
      <c r="V10" s="293"/>
      <c r="W10" s="293"/>
      <c r="AQ10" s="179"/>
      <c r="BW10" s="12" t="s">
        <v>167</v>
      </c>
    </row>
    <row r="11" spans="2:75" ht="14.25" customHeight="1">
      <c r="B11" s="1"/>
      <c r="C11" s="293"/>
      <c r="D11" s="293"/>
      <c r="E11" s="293"/>
      <c r="F11" s="293"/>
      <c r="G11" s="293"/>
      <c r="H11" s="293"/>
      <c r="I11" s="293"/>
      <c r="J11" s="293"/>
      <c r="K11" s="293"/>
      <c r="L11" s="293"/>
      <c r="M11" s="293"/>
      <c r="N11" s="293"/>
      <c r="O11" s="293"/>
      <c r="P11" s="293"/>
      <c r="Q11" s="293"/>
      <c r="R11" s="293"/>
      <c r="S11" s="293"/>
      <c r="T11" s="293"/>
      <c r="U11" s="293"/>
      <c r="V11" s="293"/>
      <c r="W11" s="293"/>
      <c r="AQ11" s="179"/>
      <c r="BQ11" s="396" t="s">
        <v>43</v>
      </c>
      <c r="BR11" s="396"/>
      <c r="BS11" s="180"/>
      <c r="BT11" s="396">
        <f>AO7</f>
        <v>0</v>
      </c>
      <c r="BU11" s="396"/>
      <c r="BW11" s="181" t="s">
        <v>168</v>
      </c>
    </row>
    <row r="12" spans="1:75" ht="14.25" customHeight="1">
      <c r="A12" s="1"/>
      <c r="B12" s="1"/>
      <c r="C12" s="293"/>
      <c r="D12" s="293"/>
      <c r="E12" s="293"/>
      <c r="F12" s="293"/>
      <c r="G12" s="293"/>
      <c r="H12" s="293"/>
      <c r="I12" s="293"/>
      <c r="J12" s="293"/>
      <c r="K12" s="293"/>
      <c r="L12" s="293"/>
      <c r="M12" s="293"/>
      <c r="N12" s="293"/>
      <c r="O12" s="293"/>
      <c r="P12" s="293"/>
      <c r="Q12" s="293"/>
      <c r="R12" s="293"/>
      <c r="S12" s="293"/>
      <c r="T12" s="293"/>
      <c r="U12" s="293"/>
      <c r="V12" s="293"/>
      <c r="W12" s="293"/>
      <c r="X12" s="1"/>
      <c r="AO12" s="182"/>
      <c r="BD12" s="183" t="s">
        <v>46</v>
      </c>
      <c r="BH12" s="415" t="s">
        <v>281</v>
      </c>
      <c r="BI12" s="416"/>
      <c r="BJ12" s="417"/>
      <c r="BK12" s="184">
        <f>MATCH(BH12,database!C$3:AA$3,0)</f>
        <v>3</v>
      </c>
      <c r="BL12" s="185" t="s">
        <v>47</v>
      </c>
      <c r="BQ12" s="397">
        <f>INDEX(database!C$4:AA$84,AL$31,BK12)</f>
        <v>1680.7</v>
      </c>
      <c r="BR12" s="398"/>
      <c r="BT12" s="397">
        <f>IF(AL$25="n.a.","",INDEX(database!C$4:AA$84,AL$25,BK12))</f>
      </c>
      <c r="BU12" s="398"/>
      <c r="BW12" s="186">
        <f>IF(BT12="",0,IF(AL5=FALSE,BT12/BQ12,IF(AL5=TRUE,BQ12/BT12)))</f>
        <v>0</v>
      </c>
    </row>
    <row r="13" spans="1:76" ht="14.25" customHeight="1">
      <c r="A13" s="1"/>
      <c r="B13" s="1"/>
      <c r="C13" s="293"/>
      <c r="D13" s="293"/>
      <c r="E13" s="293"/>
      <c r="F13" s="293"/>
      <c r="G13" s="293"/>
      <c r="H13" s="293"/>
      <c r="I13" s="293"/>
      <c r="J13" s="293"/>
      <c r="K13" s="293"/>
      <c r="L13" s="293"/>
      <c r="M13" s="293"/>
      <c r="N13" s="293"/>
      <c r="O13" s="293"/>
      <c r="P13" s="293"/>
      <c r="Q13" s="293"/>
      <c r="R13" s="293"/>
      <c r="S13" s="293"/>
      <c r="T13" s="293"/>
      <c r="U13" s="293"/>
      <c r="V13" s="293"/>
      <c r="W13" s="293"/>
      <c r="X13" s="1"/>
      <c r="BD13" s="183" t="s">
        <v>49</v>
      </c>
      <c r="BW13" s="187">
        <v>0.8</v>
      </c>
      <c r="BX13" s="188">
        <f>U14</f>
        <v>0</v>
      </c>
    </row>
    <row r="14" spans="1:76" ht="15" customHeight="1">
      <c r="A14" s="29"/>
      <c r="B14" s="55" t="s">
        <v>30</v>
      </c>
      <c r="C14" s="312" t="s">
        <v>130</v>
      </c>
      <c r="D14" s="316"/>
      <c r="E14" s="316"/>
      <c r="F14" s="316"/>
      <c r="G14" s="316"/>
      <c r="H14" s="316"/>
      <c r="I14" s="316"/>
      <c r="J14" s="316"/>
      <c r="K14" s="316"/>
      <c r="L14" s="316"/>
      <c r="M14" s="316"/>
      <c r="N14" s="316"/>
      <c r="O14" s="316"/>
      <c r="P14" s="316"/>
      <c r="Q14" s="316"/>
      <c r="R14" s="316"/>
      <c r="S14" s="316"/>
      <c r="T14" s="316"/>
      <c r="U14" s="412"/>
      <c r="V14" s="413"/>
      <c r="W14" s="414"/>
      <c r="X14" s="1"/>
      <c r="Y14" s="189"/>
      <c r="Z14" s="189"/>
      <c r="AA14" s="1"/>
      <c r="AX14" s="190"/>
      <c r="BD14" s="183" t="s">
        <v>50</v>
      </c>
      <c r="BW14" s="191">
        <f>1-BW13</f>
        <v>0.19999999999999996</v>
      </c>
      <c r="BX14" s="191">
        <f>1-BX13</f>
        <v>1</v>
      </c>
    </row>
    <row r="15" spans="1:41" ht="15" customHeight="1">
      <c r="A15" s="29"/>
      <c r="B15" s="192"/>
      <c r="C15" s="316" t="s">
        <v>54</v>
      </c>
      <c r="D15" s="316"/>
      <c r="E15" s="316"/>
      <c r="F15" s="316"/>
      <c r="G15" s="316"/>
      <c r="H15" s="316"/>
      <c r="I15" s="316"/>
      <c r="J15" s="316"/>
      <c r="K15" s="316"/>
      <c r="L15" s="316"/>
      <c r="M15" s="316"/>
      <c r="N15" s="316"/>
      <c r="O15" s="316"/>
      <c r="P15" s="316"/>
      <c r="Q15" s="316"/>
      <c r="R15" s="316"/>
      <c r="S15" s="316"/>
      <c r="T15" s="316"/>
      <c r="X15" s="189"/>
      <c r="Y15" s="189"/>
      <c r="Z15" s="189"/>
      <c r="AA15" s="1"/>
      <c r="AB15" s="189"/>
      <c r="AC15" s="189"/>
      <c r="AD15" s="189"/>
      <c r="AE15" s="189"/>
      <c r="AF15" s="189"/>
      <c r="AG15" s="189"/>
      <c r="AH15" s="189"/>
      <c r="AI15" s="189"/>
      <c r="AJ15" s="189"/>
      <c r="AL15" s="98" t="b">
        <v>0</v>
      </c>
      <c r="AO15" s="1"/>
    </row>
    <row r="16" spans="1:74" ht="15" customHeight="1">
      <c r="A16" s="3"/>
      <c r="M16" s="193" t="s">
        <v>39</v>
      </c>
      <c r="X16" s="32"/>
      <c r="Y16" s="189"/>
      <c r="Z16" s="189"/>
      <c r="AA16" s="1"/>
      <c r="AB16" s="189"/>
      <c r="AC16" s="189"/>
      <c r="AD16" s="189"/>
      <c r="AE16" s="189"/>
      <c r="AF16" s="189"/>
      <c r="AG16" s="189"/>
      <c r="AH16" s="189"/>
      <c r="AI16" s="189"/>
      <c r="AJ16" s="189"/>
      <c r="AL16" s="98" t="b">
        <v>0</v>
      </c>
      <c r="AO16" s="1"/>
      <c r="BD16" s="180" t="s">
        <v>42</v>
      </c>
      <c r="BV16" s="13"/>
    </row>
    <row r="17" spans="1:75" ht="15" customHeight="1">
      <c r="A17" s="29"/>
      <c r="B17" s="55" t="s">
        <v>32</v>
      </c>
      <c r="C17" s="296" t="s">
        <v>170</v>
      </c>
      <c r="D17" s="297"/>
      <c r="E17" s="297"/>
      <c r="F17" s="297"/>
      <c r="G17" s="297"/>
      <c r="H17" s="297"/>
      <c r="I17" s="297"/>
      <c r="J17" s="297"/>
      <c r="K17" s="297"/>
      <c r="L17" s="297"/>
      <c r="M17" s="1"/>
      <c r="N17" s="1"/>
      <c r="O17" s="194" t="s">
        <v>34</v>
      </c>
      <c r="X17" s="189">
        <f>IF(AP7=1,0,IF(OR(AP7=AP8,AP7=AP9),1,0))</f>
        <v>0</v>
      </c>
      <c r="Y17" s="189"/>
      <c r="Z17" s="189"/>
      <c r="AA17" s="1"/>
      <c r="AB17" s="189"/>
      <c r="AC17" s="189"/>
      <c r="AD17" s="189"/>
      <c r="AE17" s="189"/>
      <c r="AF17" s="189"/>
      <c r="AG17" s="189"/>
      <c r="AH17" s="189"/>
      <c r="AI17" s="189"/>
      <c r="AJ17" s="189"/>
      <c r="AL17" s="98" t="b">
        <v>0</v>
      </c>
      <c r="AO17" s="1"/>
      <c r="BD17" s="195">
        <f>IF(AQ7=0,"",AQ7)</f>
      </c>
      <c r="BE17" s="195"/>
      <c r="BQ17" s="399" t="str">
        <f>IF(OR(AL$31="n.a.",AM31="n.a."),"n.a.",INDEX(database!C$4:AA$84,AL$31,AM31))</f>
        <v>n.a.</v>
      </c>
      <c r="BR17" s="400"/>
      <c r="BS17" s="196"/>
      <c r="BT17" s="411" t="str">
        <f>IF(OR(AL$25="n.a.",AM25="n.a."),"n.a.",INDEX(database!$C$4:$AA$84,AL$25,AM25))</f>
        <v>n.a.</v>
      </c>
      <c r="BU17" s="411"/>
      <c r="BW17" s="197">
        <f>IF(OR(BT17=0,BT17="n.a.",BQ17=0,BQ17="n.a."),0,IF(AL15=FALSE,BT17/BQ17,IF(AL15=TRUE,BQ17/BT17)))</f>
        <v>0</v>
      </c>
    </row>
    <row r="18" spans="1:75" ht="15" customHeight="1">
      <c r="A18" s="178"/>
      <c r="B18" s="198"/>
      <c r="C18" s="297"/>
      <c r="D18" s="297"/>
      <c r="E18" s="297"/>
      <c r="F18" s="297"/>
      <c r="G18" s="297"/>
      <c r="H18" s="297"/>
      <c r="I18" s="297"/>
      <c r="J18" s="297"/>
      <c r="K18" s="297"/>
      <c r="L18" s="297"/>
      <c r="M18" s="1"/>
      <c r="N18" s="1"/>
      <c r="O18" s="194" t="s">
        <v>35</v>
      </c>
      <c r="X18" s="189">
        <f>IF(AP8=1,0,IF(AP8=AP9,1,0))</f>
        <v>0</v>
      </c>
      <c r="Y18" s="189"/>
      <c r="Z18" s="189"/>
      <c r="AA18" s="1"/>
      <c r="AB18" s="189"/>
      <c r="AC18" s="189"/>
      <c r="AD18" s="189"/>
      <c r="AE18" s="189"/>
      <c r="AF18" s="189"/>
      <c r="AG18" s="189"/>
      <c r="AH18" s="189"/>
      <c r="AI18" s="189"/>
      <c r="AJ18" s="189"/>
      <c r="AL18" s="98" t="b">
        <v>0</v>
      </c>
      <c r="AO18" s="1"/>
      <c r="BD18" s="195">
        <f>IF(AQ8=0,"",AQ8)</f>
      </c>
      <c r="BE18" s="195"/>
      <c r="BQ18" s="399" t="str">
        <f>IF(OR(AL$31="n.a.",AM32="n.a."),"n.a.",INDEX(database!C$4:AA$84,AL$31,AM32))</f>
        <v>n.a.</v>
      </c>
      <c r="BR18" s="400"/>
      <c r="BT18" s="411" t="str">
        <f>IF(OR(AL$25="n.a.",AM26="n.a."),"n.a.",INDEX(database!$C$4:$AA$84,AL$25,AM26))</f>
        <v>n.a.</v>
      </c>
      <c r="BU18" s="411"/>
      <c r="BW18" s="197">
        <f>IF(OR(BT18=0,BT18="n.a.",BQ18=0,BQ18="n.a."),0,IF(AL16=FALSE,BT18/BQ18,IF(AL16=TRUE,BQ18/BT18)))</f>
        <v>0</v>
      </c>
    </row>
    <row r="19" spans="1:75" ht="15" customHeight="1">
      <c r="A19" s="178"/>
      <c r="C19" s="297"/>
      <c r="D19" s="297"/>
      <c r="E19" s="297"/>
      <c r="F19" s="297"/>
      <c r="G19" s="297"/>
      <c r="H19" s="297"/>
      <c r="I19" s="297"/>
      <c r="J19" s="297"/>
      <c r="K19" s="297"/>
      <c r="L19" s="297"/>
      <c r="M19" s="1"/>
      <c r="N19" s="1"/>
      <c r="O19" s="194" t="s">
        <v>36</v>
      </c>
      <c r="X19" s="189">
        <f>X17+X18</f>
        <v>0</v>
      </c>
      <c r="Y19" s="189"/>
      <c r="Z19" s="189"/>
      <c r="AA19" s="1"/>
      <c r="AB19" s="189"/>
      <c r="AC19" s="189"/>
      <c r="AD19" s="189"/>
      <c r="AE19" s="189"/>
      <c r="AF19" s="189"/>
      <c r="AG19" s="189"/>
      <c r="AH19" s="189"/>
      <c r="AI19" s="189"/>
      <c r="AJ19" s="189"/>
      <c r="AO19" s="1"/>
      <c r="BD19" s="195">
        <f>IF(AQ9=0,"",AQ9)</f>
      </c>
      <c r="BE19" s="195"/>
      <c r="BQ19" s="399" t="str">
        <f>IF(OR(AL$31="n.a.",AM33="n.a."),"n.a.",INDEX(database!C$4:AA$84,AL$31,AM33))</f>
        <v>n.a.</v>
      </c>
      <c r="BR19" s="400"/>
      <c r="BT19" s="411" t="str">
        <f>IF(OR(AL$25="n.a.",AM27="n.a."),"n.a.",INDEX(database!$C$4:$AA$84,AL$25,AM27))</f>
        <v>n.a.</v>
      </c>
      <c r="BU19" s="411"/>
      <c r="BW19" s="197">
        <f>IF(OR(BT19=0,BT19="n.a.",BQ19=0,BQ19="n.a."),0,IF(AL17=FALSE,BT19/BQ19,IF(AL17=TRUE,BQ19/BT19)))</f>
        <v>0</v>
      </c>
    </row>
    <row r="20" spans="1:75" ht="15" customHeight="1">
      <c r="A20" s="178"/>
      <c r="C20" s="297"/>
      <c r="D20" s="297"/>
      <c r="E20" s="297"/>
      <c r="F20" s="297"/>
      <c r="G20" s="297"/>
      <c r="H20" s="297"/>
      <c r="I20" s="297"/>
      <c r="J20" s="297"/>
      <c r="K20" s="297"/>
      <c r="L20" s="297"/>
      <c r="M20" s="1"/>
      <c r="O20" s="7">
        <f>IF(X19=0,"",AP2)</f>
      </c>
      <c r="Y20" s="189"/>
      <c r="Z20" s="189"/>
      <c r="AA20" s="1"/>
      <c r="AB20" s="189"/>
      <c r="AC20" s="189"/>
      <c r="AD20" s="189"/>
      <c r="AE20" s="189"/>
      <c r="AF20" s="189"/>
      <c r="AG20" s="189"/>
      <c r="AH20" s="189"/>
      <c r="AI20" s="189"/>
      <c r="AJ20" s="189"/>
      <c r="AO20" s="1"/>
      <c r="BD20" s="195">
        <f>IF(P23=0,"",P23)</f>
      </c>
      <c r="BQ20" s="397">
        <f>Q26</f>
        <v>0</v>
      </c>
      <c r="BR20" s="410"/>
      <c r="BT20" s="398">
        <f>U26</f>
        <v>0</v>
      </c>
      <c r="BU20" s="410"/>
      <c r="BW20" s="197">
        <f>IF(OR(BT20=0,BQ20=0),0,IF(AL18=FALSE,BT20/BQ20,IF(AL18=TRUE,BQ20/BT20)))</f>
        <v>0</v>
      </c>
    </row>
    <row r="21" spans="1:75" ht="15" customHeight="1">
      <c r="A21" s="29"/>
      <c r="B21" s="55" t="s">
        <v>37</v>
      </c>
      <c r="C21" s="312" t="s">
        <v>172</v>
      </c>
      <c r="D21" s="316"/>
      <c r="E21" s="316"/>
      <c r="F21" s="316"/>
      <c r="G21" s="316"/>
      <c r="H21" s="316"/>
      <c r="I21" s="316"/>
      <c r="J21" s="316"/>
      <c r="K21" s="316"/>
      <c r="L21" s="316"/>
      <c r="M21" s="316"/>
      <c r="N21" s="316"/>
      <c r="O21" s="316"/>
      <c r="P21" s="316"/>
      <c r="Q21" s="316"/>
      <c r="R21" s="316"/>
      <c r="S21" s="316"/>
      <c r="T21" s="316"/>
      <c r="U21" s="316"/>
      <c r="V21" s="316"/>
      <c r="W21" s="316"/>
      <c r="AA21" s="1"/>
      <c r="AO21" s="1"/>
      <c r="BD21" s="183" t="s">
        <v>48</v>
      </c>
      <c r="BW21" s="186">
        <f>SUMPRODUCT(BW17:BW20,N32:N35)</f>
        <v>0</v>
      </c>
    </row>
    <row r="22" spans="3:50" ht="15" customHeight="1">
      <c r="C22" s="316"/>
      <c r="D22" s="316"/>
      <c r="E22" s="316"/>
      <c r="F22" s="316"/>
      <c r="G22" s="316"/>
      <c r="H22" s="316"/>
      <c r="I22" s="316"/>
      <c r="J22" s="316"/>
      <c r="K22" s="316"/>
      <c r="L22" s="316"/>
      <c r="M22" s="316"/>
      <c r="N22" s="316"/>
      <c r="O22" s="316"/>
      <c r="P22" s="316"/>
      <c r="Q22" s="316"/>
      <c r="R22" s="316"/>
      <c r="S22" s="316"/>
      <c r="T22" s="316"/>
      <c r="U22" s="316"/>
      <c r="V22" s="316"/>
      <c r="W22" s="316"/>
      <c r="AA22" s="1"/>
      <c r="AO22" s="1"/>
      <c r="AP22" s="274">
        <v>1</v>
      </c>
      <c r="AQ22" s="199"/>
      <c r="AR22" s="98">
        <v>1</v>
      </c>
      <c r="AS22" s="200"/>
      <c r="AT22" s="98"/>
      <c r="AU22" s="98"/>
      <c r="AV22" s="98"/>
      <c r="AW22" s="98"/>
      <c r="AX22" s="201"/>
    </row>
    <row r="23" spans="1:75" ht="15" customHeight="1">
      <c r="A23" s="202"/>
      <c r="B23" s="203" t="s">
        <v>38</v>
      </c>
      <c r="C23" s="385" t="s">
        <v>171</v>
      </c>
      <c r="D23" s="316"/>
      <c r="E23" s="316"/>
      <c r="F23" s="316"/>
      <c r="G23" s="316"/>
      <c r="H23" s="316"/>
      <c r="I23" s="316"/>
      <c r="J23" s="316"/>
      <c r="K23" s="316"/>
      <c r="L23" s="316"/>
      <c r="M23" s="193" t="s">
        <v>39</v>
      </c>
      <c r="N23" s="1"/>
      <c r="O23" s="1"/>
      <c r="P23" s="294"/>
      <c r="Q23" s="375"/>
      <c r="R23" s="375"/>
      <c r="S23" s="375"/>
      <c r="T23" s="375"/>
      <c r="U23" s="375"/>
      <c r="V23" s="375"/>
      <c r="W23" s="376"/>
      <c r="AA23" s="1"/>
      <c r="AO23" s="1"/>
      <c r="AP23" s="274">
        <v>2</v>
      </c>
      <c r="AQ23" s="275" t="s">
        <v>198</v>
      </c>
      <c r="AR23" s="204">
        <v>2</v>
      </c>
      <c r="AS23" s="279" t="s">
        <v>251</v>
      </c>
      <c r="AT23" s="98"/>
      <c r="AU23" s="98"/>
      <c r="AV23" s="98"/>
      <c r="AW23" s="98"/>
      <c r="AX23" s="201"/>
      <c r="BD23" s="183" t="s">
        <v>56</v>
      </c>
      <c r="BW23" s="205">
        <f>IF(U14=0,BW12*BW13+BW21*BW14,BW12*U14+BW21*BX14)</f>
        <v>0</v>
      </c>
    </row>
    <row r="24" spans="3:50" ht="15" customHeight="1">
      <c r="C24" s="316"/>
      <c r="D24" s="316"/>
      <c r="E24" s="316"/>
      <c r="F24" s="316"/>
      <c r="G24" s="316"/>
      <c r="H24" s="316"/>
      <c r="I24" s="316"/>
      <c r="J24" s="316"/>
      <c r="K24" s="316"/>
      <c r="L24" s="316"/>
      <c r="M24" s="1"/>
      <c r="N24" s="1"/>
      <c r="O24" s="1"/>
      <c r="P24" s="12" t="s">
        <v>57</v>
      </c>
      <c r="S24" s="372"/>
      <c r="T24" s="373"/>
      <c r="U24" s="373"/>
      <c r="V24" s="373"/>
      <c r="W24" s="374"/>
      <c r="AA24" s="1"/>
      <c r="AL24" s="12" t="s">
        <v>44</v>
      </c>
      <c r="AM24" s="12" t="s">
        <v>45</v>
      </c>
      <c r="AO24" s="1"/>
      <c r="AP24" s="274">
        <v>3</v>
      </c>
      <c r="AQ24" s="275" t="s">
        <v>0</v>
      </c>
      <c r="AR24" s="98">
        <v>3</v>
      </c>
      <c r="AS24" s="279" t="s">
        <v>252</v>
      </c>
      <c r="AT24" s="98"/>
      <c r="AU24" s="98"/>
      <c r="AV24" s="98"/>
      <c r="AW24" s="98"/>
      <c r="AX24" s="201"/>
    </row>
    <row r="25" spans="3:50" ht="15" customHeight="1">
      <c r="C25" s="316"/>
      <c r="D25" s="316"/>
      <c r="E25" s="316"/>
      <c r="F25" s="316"/>
      <c r="G25" s="316"/>
      <c r="H25" s="316"/>
      <c r="I25" s="316"/>
      <c r="J25" s="316"/>
      <c r="K25" s="316"/>
      <c r="L25" s="316"/>
      <c r="Q25" s="371" t="s">
        <v>43</v>
      </c>
      <c r="R25" s="371"/>
      <c r="S25" s="371"/>
      <c r="U25" s="371">
        <f>IF(AO7=0,"",AO7)</f>
      </c>
      <c r="V25" s="371"/>
      <c r="W25" s="371"/>
      <c r="AA25" s="1"/>
      <c r="AL25" s="377" t="str">
        <f>IF(AO$7=0,"n.a.",MATCH(AO$7,database!B$4:B$84,0))</f>
        <v>n.a.</v>
      </c>
      <c r="AM25" s="206" t="str">
        <f>IF(C32="n.a.","n.a.",MATCH(C32,database!C$3:AA$3,0))</f>
        <v>n.a.</v>
      </c>
      <c r="AO25" s="1"/>
      <c r="AP25" s="274">
        <v>4</v>
      </c>
      <c r="AQ25" s="275" t="s">
        <v>1</v>
      </c>
      <c r="AR25" s="204">
        <v>4</v>
      </c>
      <c r="AS25" s="279" t="s">
        <v>253</v>
      </c>
      <c r="AV25" s="98"/>
      <c r="AW25" s="98"/>
      <c r="AX25" s="201"/>
    </row>
    <row r="26" spans="3:50" ht="15" customHeight="1">
      <c r="C26" s="316"/>
      <c r="D26" s="316"/>
      <c r="E26" s="316"/>
      <c r="F26" s="316"/>
      <c r="G26" s="316"/>
      <c r="H26" s="316"/>
      <c r="I26" s="316"/>
      <c r="J26" s="316"/>
      <c r="K26" s="316"/>
      <c r="L26" s="316"/>
      <c r="Q26" s="368"/>
      <c r="R26" s="369"/>
      <c r="S26" s="370"/>
      <c r="U26" s="368"/>
      <c r="V26" s="369"/>
      <c r="W26" s="370"/>
      <c r="AA26" s="1"/>
      <c r="AL26" s="378"/>
      <c r="AM26" s="206" t="str">
        <f>IF(C33="n.a.","n.a.",MATCH(C33,database!C$3:AA$3,0))</f>
        <v>n.a.</v>
      </c>
      <c r="AO26" s="1"/>
      <c r="AP26" s="274">
        <v>5</v>
      </c>
      <c r="AQ26" s="275" t="s">
        <v>2</v>
      </c>
      <c r="AR26" s="98">
        <v>5</v>
      </c>
      <c r="AS26" s="279" t="s">
        <v>254</v>
      </c>
      <c r="AT26" s="98"/>
      <c r="AU26" s="98"/>
      <c r="AV26" s="98"/>
      <c r="AW26" s="98"/>
      <c r="AX26" s="201"/>
    </row>
    <row r="27" spans="3:50" ht="15" customHeight="1">
      <c r="C27" s="316"/>
      <c r="D27" s="316"/>
      <c r="E27" s="316"/>
      <c r="F27" s="316"/>
      <c r="G27" s="316"/>
      <c r="H27" s="316"/>
      <c r="I27" s="316"/>
      <c r="J27" s="316"/>
      <c r="K27" s="316"/>
      <c r="L27" s="316"/>
      <c r="Q27" s="7">
        <f>IF(P23=0,"",IF(OR(Q26=0,U26=0),AP3,""))</f>
      </c>
      <c r="R27" s="116"/>
      <c r="S27" s="116"/>
      <c r="T27" s="116"/>
      <c r="U27" s="116"/>
      <c r="V27" s="116"/>
      <c r="AA27" s="1"/>
      <c r="AL27" s="379"/>
      <c r="AM27" s="206" t="str">
        <f>IF(C34="n.a.","n.a.",MATCH(C34,database!C$3:AA$3,0))</f>
        <v>n.a.</v>
      </c>
      <c r="AO27" s="1"/>
      <c r="AP27" s="274">
        <v>6</v>
      </c>
      <c r="AQ27" s="275" t="s">
        <v>199</v>
      </c>
      <c r="AR27" s="204">
        <v>6</v>
      </c>
      <c r="AS27" s="279" t="s">
        <v>255</v>
      </c>
      <c r="AT27" s="98"/>
      <c r="AU27" s="98"/>
      <c r="AV27" s="98"/>
      <c r="AW27" s="98"/>
      <c r="AX27" s="201"/>
    </row>
    <row r="28" spans="1:77" ht="15" customHeight="1">
      <c r="A28" s="207"/>
      <c r="B28" s="34" t="s">
        <v>51</v>
      </c>
      <c r="C28" s="380" t="s">
        <v>173</v>
      </c>
      <c r="D28" s="297"/>
      <c r="E28" s="297"/>
      <c r="F28" s="297"/>
      <c r="G28" s="297"/>
      <c r="H28" s="297"/>
      <c r="I28" s="297"/>
      <c r="J28" s="297"/>
      <c r="K28" s="297"/>
      <c r="L28" s="297"/>
      <c r="M28" s="297"/>
      <c r="N28" s="297"/>
      <c r="O28" s="297"/>
      <c r="P28" s="297"/>
      <c r="Q28" s="297"/>
      <c r="R28" s="297"/>
      <c r="S28" s="297"/>
      <c r="T28" s="297"/>
      <c r="U28" s="297"/>
      <c r="V28" s="297"/>
      <c r="W28" s="297"/>
      <c r="AA28" s="1"/>
      <c r="AL28" s="1"/>
      <c r="AM28" s="206"/>
      <c r="AO28" s="1"/>
      <c r="AP28" s="274">
        <v>7</v>
      </c>
      <c r="AQ28" s="275" t="s">
        <v>200</v>
      </c>
      <c r="AR28" s="98">
        <v>7</v>
      </c>
      <c r="AS28" s="279" t="s">
        <v>256</v>
      </c>
      <c r="AT28" s="98"/>
      <c r="AU28" s="98"/>
      <c r="AV28" s="98"/>
      <c r="AW28" s="98"/>
      <c r="AX28" s="201"/>
      <c r="BY28" s="208"/>
    </row>
    <row r="29" spans="1:50" ht="15" customHeight="1">
      <c r="A29" s="29"/>
      <c r="B29" s="55"/>
      <c r="C29" s="297"/>
      <c r="D29" s="297"/>
      <c r="E29" s="297"/>
      <c r="F29" s="297"/>
      <c r="G29" s="297"/>
      <c r="H29" s="297"/>
      <c r="I29" s="297"/>
      <c r="J29" s="297"/>
      <c r="K29" s="297"/>
      <c r="L29" s="297"/>
      <c r="M29" s="297"/>
      <c r="N29" s="297"/>
      <c r="O29" s="297"/>
      <c r="P29" s="297"/>
      <c r="Q29" s="297"/>
      <c r="R29" s="297"/>
      <c r="S29" s="297"/>
      <c r="T29" s="297"/>
      <c r="U29" s="297"/>
      <c r="V29" s="297"/>
      <c r="W29" s="297"/>
      <c r="AA29" s="1"/>
      <c r="AO29" s="1"/>
      <c r="AP29" s="274">
        <v>8</v>
      </c>
      <c r="AQ29" s="275" t="s">
        <v>3</v>
      </c>
      <c r="AR29" s="204">
        <v>8</v>
      </c>
      <c r="AS29" s="279" t="s">
        <v>257</v>
      </c>
      <c r="AT29" s="98"/>
      <c r="AU29" s="98"/>
      <c r="AV29" s="98"/>
      <c r="AW29" s="98"/>
      <c r="AX29" s="201"/>
    </row>
    <row r="30" spans="1:50" ht="15" customHeight="1">
      <c r="A30" s="29"/>
      <c r="B30" s="55"/>
      <c r="C30" s="297"/>
      <c r="D30" s="297"/>
      <c r="E30" s="297"/>
      <c r="F30" s="297"/>
      <c r="G30" s="297"/>
      <c r="H30" s="297"/>
      <c r="I30" s="297"/>
      <c r="J30" s="297"/>
      <c r="K30" s="297"/>
      <c r="L30" s="297"/>
      <c r="M30" s="297"/>
      <c r="N30" s="297"/>
      <c r="O30" s="297"/>
      <c r="P30" s="297"/>
      <c r="Q30" s="297"/>
      <c r="R30" s="297"/>
      <c r="S30" s="297"/>
      <c r="T30" s="297"/>
      <c r="U30" s="297"/>
      <c r="V30" s="297"/>
      <c r="W30" s="297"/>
      <c r="AA30" s="1"/>
      <c r="AL30" s="12" t="s">
        <v>43</v>
      </c>
      <c r="AO30" s="1"/>
      <c r="AP30" s="274">
        <v>9</v>
      </c>
      <c r="AQ30" s="275" t="s">
        <v>4</v>
      </c>
      <c r="AR30" s="98">
        <v>9</v>
      </c>
      <c r="AS30" s="279" t="s">
        <v>284</v>
      </c>
      <c r="AT30" s="98"/>
      <c r="AU30" s="98"/>
      <c r="AV30" s="98"/>
      <c r="AW30" s="98"/>
      <c r="AX30" s="201"/>
    </row>
    <row r="31" spans="3:50" ht="15" customHeight="1">
      <c r="C31" s="1"/>
      <c r="D31" s="1"/>
      <c r="E31" s="1"/>
      <c r="F31" s="1"/>
      <c r="G31" s="1"/>
      <c r="H31" s="1"/>
      <c r="I31" s="1"/>
      <c r="J31" s="1"/>
      <c r="K31" s="1"/>
      <c r="L31" s="1"/>
      <c r="M31" s="1"/>
      <c r="N31" s="1"/>
      <c r="O31" s="209" t="s">
        <v>40</v>
      </c>
      <c r="P31" s="1"/>
      <c r="Q31" s="1"/>
      <c r="R31" s="1"/>
      <c r="S31" s="1"/>
      <c r="T31" s="1"/>
      <c r="U31" s="1"/>
      <c r="V31" s="1"/>
      <c r="W31" s="209" t="s">
        <v>41</v>
      </c>
      <c r="AA31" s="1"/>
      <c r="AL31" s="377">
        <f>MATCH(AQ103,database!B$4:B$84,0)</f>
        <v>81</v>
      </c>
      <c r="AM31" s="206" t="str">
        <f>AM25</f>
        <v>n.a.</v>
      </c>
      <c r="AO31" s="1"/>
      <c r="AP31" s="274">
        <v>10</v>
      </c>
      <c r="AQ31" s="275" t="s">
        <v>201</v>
      </c>
      <c r="AR31" s="204">
        <v>10</v>
      </c>
      <c r="AS31" s="279" t="s">
        <v>258</v>
      </c>
      <c r="AT31" s="98"/>
      <c r="AU31" s="98"/>
      <c r="AV31" s="98"/>
      <c r="AW31" s="98"/>
      <c r="AX31" s="201"/>
    </row>
    <row r="32" spans="3:50" ht="15" customHeight="1">
      <c r="C32" s="210" t="str">
        <f>IF(AQ7=0,"n.a.",AQ7)</f>
        <v>n.a.</v>
      </c>
      <c r="D32" s="210"/>
      <c r="M32" s="211">
        <v>0</v>
      </c>
      <c r="N32" s="212">
        <f>IF(M$36=0,"",M32/M$36)</f>
      </c>
      <c r="X32" s="1"/>
      <c r="AA32" s="1"/>
      <c r="AL32" s="378"/>
      <c r="AM32" s="206" t="str">
        <f>AM26</f>
        <v>n.a.</v>
      </c>
      <c r="AO32" s="1"/>
      <c r="AP32" s="274">
        <v>11</v>
      </c>
      <c r="AQ32" s="275" t="s">
        <v>5</v>
      </c>
      <c r="AR32" s="98">
        <v>11</v>
      </c>
      <c r="AS32" s="279" t="s">
        <v>259</v>
      </c>
      <c r="AT32" s="98"/>
      <c r="AU32" s="98"/>
      <c r="AV32" s="98"/>
      <c r="AW32" s="98"/>
      <c r="AX32" s="201"/>
    </row>
    <row r="33" spans="3:50" ht="15" customHeight="1">
      <c r="C33" s="210" t="str">
        <f>IF(AQ8=0,"n.a.",AQ8)</f>
        <v>n.a.</v>
      </c>
      <c r="D33" s="210"/>
      <c r="M33" s="211">
        <v>0</v>
      </c>
      <c r="N33" s="212">
        <f>IF(M$36=0,"",M33/M$36)</f>
      </c>
      <c r="Y33" s="1"/>
      <c r="AA33" s="1"/>
      <c r="AL33" s="379"/>
      <c r="AM33" s="206" t="str">
        <f>AM27</f>
        <v>n.a.</v>
      </c>
      <c r="AO33" s="1"/>
      <c r="AP33" s="274">
        <v>12</v>
      </c>
      <c r="AQ33" s="275" t="s">
        <v>202</v>
      </c>
      <c r="AR33" s="204">
        <v>12</v>
      </c>
      <c r="AS33" s="279" t="s">
        <v>260</v>
      </c>
      <c r="AT33" s="98"/>
      <c r="AU33" s="98"/>
      <c r="AV33" s="98"/>
      <c r="AW33" s="98"/>
      <c r="AX33" s="201"/>
    </row>
    <row r="34" spans="3:50" ht="15" customHeight="1">
      <c r="C34" s="210" t="str">
        <f>IF(AQ9=0,"n.a.",AQ9)</f>
        <v>n.a.</v>
      </c>
      <c r="D34" s="210"/>
      <c r="M34" s="211">
        <v>0</v>
      </c>
      <c r="N34" s="212">
        <f>IF(M$36=0,"",M34/M$36)</f>
      </c>
      <c r="AA34" s="1"/>
      <c r="AL34" s="1"/>
      <c r="AM34" s="206"/>
      <c r="AO34" s="1"/>
      <c r="AP34" s="274">
        <v>13</v>
      </c>
      <c r="AQ34" s="275" t="s">
        <v>6</v>
      </c>
      <c r="AR34" s="98">
        <v>13</v>
      </c>
      <c r="AS34" s="279" t="s">
        <v>261</v>
      </c>
      <c r="AT34" s="98"/>
      <c r="AU34" s="98"/>
      <c r="AV34" s="98"/>
      <c r="AW34" s="98"/>
      <c r="AX34" s="201"/>
    </row>
    <row r="35" spans="3:50" ht="15" customHeight="1">
      <c r="C35" s="210" t="str">
        <f>IF(P23=0,"n.a.",P23)</f>
        <v>n.a.</v>
      </c>
      <c r="D35" s="210"/>
      <c r="M35" s="213">
        <v>0</v>
      </c>
      <c r="N35" s="212">
        <f>IF(M$36=0,"",M35/M$36)</f>
      </c>
      <c r="AA35" s="1"/>
      <c r="AL35" s="1"/>
      <c r="AM35" s="206"/>
      <c r="AO35" s="1"/>
      <c r="AP35" s="274">
        <v>14</v>
      </c>
      <c r="AQ35" s="275" t="s">
        <v>203</v>
      </c>
      <c r="AR35" s="204">
        <v>14</v>
      </c>
      <c r="AS35" s="279" t="s">
        <v>262</v>
      </c>
      <c r="AT35" s="98"/>
      <c r="AU35" s="98"/>
      <c r="AV35" s="98"/>
      <c r="AW35" s="98"/>
      <c r="AX35" s="201"/>
    </row>
    <row r="36" spans="3:50" ht="15" customHeight="1">
      <c r="C36" s="180"/>
      <c r="M36" s="214">
        <f>SUM(M32:M35)</f>
        <v>0</v>
      </c>
      <c r="N36" s="212">
        <f>IF(M$36=0,"",M36/M$36)</f>
      </c>
      <c r="AA36" s="1"/>
      <c r="AL36" s="1"/>
      <c r="AM36" s="206"/>
      <c r="AO36" s="1"/>
      <c r="AP36" s="274">
        <v>15</v>
      </c>
      <c r="AQ36" s="275" t="s">
        <v>7</v>
      </c>
      <c r="AR36" s="98">
        <v>15</v>
      </c>
      <c r="AS36" s="279" t="s">
        <v>263</v>
      </c>
      <c r="AT36" s="98"/>
      <c r="AU36" s="98"/>
      <c r="AV36" s="98"/>
      <c r="AW36" s="98"/>
      <c r="AX36" s="201"/>
    </row>
    <row r="37" spans="2:50" ht="15" customHeight="1">
      <c r="B37" s="367">
        <f>IF(AND(AO7=0,SUM(U14,Q26,U26,U38)&gt;0),AP4,"")</f>
      </c>
      <c r="C37" s="367"/>
      <c r="D37" s="367"/>
      <c r="E37" s="367"/>
      <c r="F37" s="367"/>
      <c r="G37" s="367"/>
      <c r="H37" s="367"/>
      <c r="I37" s="367"/>
      <c r="J37" s="367"/>
      <c r="K37" s="367"/>
      <c r="L37" s="367"/>
      <c r="M37" s="367"/>
      <c r="N37" s="367"/>
      <c r="O37" s="367"/>
      <c r="P37" s="367"/>
      <c r="Q37" s="367"/>
      <c r="R37" s="367"/>
      <c r="S37" s="367"/>
      <c r="T37" s="367"/>
      <c r="U37"/>
      <c r="V37"/>
      <c r="W37"/>
      <c r="X37"/>
      <c r="AA37" s="1"/>
      <c r="AO37" s="1"/>
      <c r="AP37" s="274">
        <v>16</v>
      </c>
      <c r="AQ37" s="275" t="s">
        <v>204</v>
      </c>
      <c r="AR37" s="204">
        <v>16</v>
      </c>
      <c r="AS37" s="279" t="s">
        <v>264</v>
      </c>
      <c r="AT37" s="98"/>
      <c r="AU37" s="98"/>
      <c r="AV37" s="98"/>
      <c r="AW37" s="98"/>
      <c r="AX37" s="201"/>
    </row>
    <row r="38" spans="1:50" ht="15" customHeight="1">
      <c r="A38" s="29"/>
      <c r="B38" s="55" t="s">
        <v>55</v>
      </c>
      <c r="C38" s="380" t="s">
        <v>58</v>
      </c>
      <c r="D38" s="297"/>
      <c r="E38" s="297"/>
      <c r="F38" s="297"/>
      <c r="G38" s="297"/>
      <c r="H38" s="297"/>
      <c r="I38" s="297"/>
      <c r="J38" s="297"/>
      <c r="K38" s="297"/>
      <c r="L38" s="297"/>
      <c r="M38" s="297"/>
      <c r="N38" s="297"/>
      <c r="O38" s="297"/>
      <c r="P38" s="297"/>
      <c r="Q38" s="297"/>
      <c r="R38" s="297"/>
      <c r="S38" s="297"/>
      <c r="T38" s="384"/>
      <c r="U38" s="381"/>
      <c r="V38" s="382"/>
      <c r="W38" s="383"/>
      <c r="AA38" s="1"/>
      <c r="AO38" s="1"/>
      <c r="AP38" s="274">
        <v>17</v>
      </c>
      <c r="AQ38" s="275" t="s">
        <v>8</v>
      </c>
      <c r="AR38" s="98">
        <v>17</v>
      </c>
      <c r="AS38" s="279" t="s">
        <v>265</v>
      </c>
      <c r="AT38" s="98"/>
      <c r="AU38" s="98"/>
      <c r="AV38" s="98"/>
      <c r="AW38" s="98"/>
      <c r="AX38" s="201"/>
    </row>
    <row r="39" spans="3:50" ht="15" customHeight="1">
      <c r="C39" s="297"/>
      <c r="D39" s="297"/>
      <c r="E39" s="297"/>
      <c r="F39" s="297"/>
      <c r="G39" s="297"/>
      <c r="H39" s="297"/>
      <c r="I39" s="297"/>
      <c r="J39" s="297"/>
      <c r="K39" s="297"/>
      <c r="L39" s="297"/>
      <c r="M39" s="297"/>
      <c r="N39" s="297"/>
      <c r="O39" s="297"/>
      <c r="P39" s="297"/>
      <c r="Q39" s="297"/>
      <c r="R39" s="297"/>
      <c r="S39" s="297"/>
      <c r="T39" s="384"/>
      <c r="U39" s="391">
        <f>IF(U40="","",IF(U38=0,"n.a.",U40/U38))</f>
      </c>
      <c r="V39" s="392"/>
      <c r="W39" s="393"/>
      <c r="AA39" s="1"/>
      <c r="AO39" s="1"/>
      <c r="AP39" s="274">
        <v>18</v>
      </c>
      <c r="AQ39" s="275" t="s">
        <v>205</v>
      </c>
      <c r="AR39" s="204">
        <v>18</v>
      </c>
      <c r="AS39" s="279" t="s">
        <v>266</v>
      </c>
      <c r="AT39" s="98"/>
      <c r="AU39" s="98"/>
      <c r="AX39" s="201"/>
    </row>
    <row r="40" spans="2:50" ht="15" customHeight="1">
      <c r="B40" s="388" t="s">
        <v>160</v>
      </c>
      <c r="C40" s="389"/>
      <c r="D40" s="389"/>
      <c r="E40" s="389"/>
      <c r="F40" s="389"/>
      <c r="G40" s="389"/>
      <c r="H40" s="389"/>
      <c r="I40" s="389"/>
      <c r="J40" s="389"/>
      <c r="K40" s="389"/>
      <c r="L40" s="389"/>
      <c r="M40" s="389"/>
      <c r="N40" s="389"/>
      <c r="O40" s="390"/>
      <c r="P40" s="390"/>
      <c r="Q40" s="386">
        <f>IF(AO7=0,"",AO7)</f>
      </c>
      <c r="R40" s="386"/>
      <c r="S40" s="386"/>
      <c r="T40" s="387"/>
      <c r="U40" s="359">
        <f>IF(BW23=0,"",IF(U38=0,"n.a.",ROUND(U38*BW23*T7,0)))</f>
      </c>
      <c r="V40" s="360"/>
      <c r="W40" s="361"/>
      <c r="AA40" s="1"/>
      <c r="AO40" s="1"/>
      <c r="AP40" s="274">
        <v>19</v>
      </c>
      <c r="AQ40" s="275" t="s">
        <v>206</v>
      </c>
      <c r="AR40" s="98">
        <v>19</v>
      </c>
      <c r="AS40" s="279" t="s">
        <v>267</v>
      </c>
      <c r="AX40" s="201"/>
    </row>
    <row r="41" spans="27:45" ht="15" customHeight="1">
      <c r="AA41" s="1"/>
      <c r="AO41" s="1"/>
      <c r="AP41" s="274">
        <v>20</v>
      </c>
      <c r="AQ41" s="275" t="s">
        <v>207</v>
      </c>
      <c r="AR41" s="204">
        <v>20</v>
      </c>
      <c r="AS41" s="279" t="s">
        <v>268</v>
      </c>
    </row>
    <row r="42" spans="1:45"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O42" s="1"/>
      <c r="AP42" s="274">
        <v>21</v>
      </c>
      <c r="AQ42" s="275" t="s">
        <v>208</v>
      </c>
      <c r="AR42" s="98">
        <v>21</v>
      </c>
      <c r="AS42" s="279" t="s">
        <v>269</v>
      </c>
    </row>
    <row r="43" spans="1:45"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O43" s="1"/>
      <c r="AP43" s="274">
        <v>22</v>
      </c>
      <c r="AQ43" s="275" t="s">
        <v>9</v>
      </c>
      <c r="AR43" s="204">
        <v>22</v>
      </c>
      <c r="AS43" s="279" t="s">
        <v>270</v>
      </c>
    </row>
    <row r="44" spans="1:45"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O44" s="1"/>
      <c r="AP44" s="274">
        <v>23</v>
      </c>
      <c r="AQ44" s="275" t="s">
        <v>10</v>
      </c>
      <c r="AR44" s="98">
        <v>23</v>
      </c>
      <c r="AS44" s="279" t="s">
        <v>271</v>
      </c>
    </row>
    <row r="45" spans="1:43"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O45" s="1"/>
      <c r="AP45" s="274">
        <v>24</v>
      </c>
      <c r="AQ45" s="275" t="s">
        <v>11</v>
      </c>
    </row>
    <row r="46" spans="1:43" ht="1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O46" s="1"/>
      <c r="AP46" s="274">
        <v>25</v>
      </c>
      <c r="AQ46" s="275" t="s">
        <v>12</v>
      </c>
    </row>
    <row r="47" spans="1:43" ht="12">
      <c r="A47" s="1"/>
      <c r="B47" s="1"/>
      <c r="C47" s="1"/>
      <c r="D47" s="1"/>
      <c r="E47" s="1"/>
      <c r="F47" s="1"/>
      <c r="G47" s="1"/>
      <c r="H47" s="1"/>
      <c r="I47" s="1"/>
      <c r="J47" s="1"/>
      <c r="K47" s="1"/>
      <c r="L47" s="1"/>
      <c r="M47" s="1"/>
      <c r="N47" s="1"/>
      <c r="O47" s="1"/>
      <c r="P47" s="1"/>
      <c r="Q47" s="1"/>
      <c r="R47" s="1"/>
      <c r="S47" s="1"/>
      <c r="T47" s="1"/>
      <c r="U47" s="1"/>
      <c r="V47" s="1"/>
      <c r="W47" s="1"/>
      <c r="X47" s="1"/>
      <c r="Y47" s="1"/>
      <c r="Z47" s="1"/>
      <c r="AA47" s="1"/>
      <c r="AO47" s="1"/>
      <c r="AP47" s="274">
        <v>26</v>
      </c>
      <c r="AQ47" s="275" t="s">
        <v>209</v>
      </c>
    </row>
    <row r="48" spans="1:43" ht="12">
      <c r="A48" s="1"/>
      <c r="B48" s="1"/>
      <c r="C48" s="1"/>
      <c r="D48" s="1"/>
      <c r="E48" s="1"/>
      <c r="F48" s="1"/>
      <c r="G48" s="1"/>
      <c r="H48" s="1"/>
      <c r="I48" s="1"/>
      <c r="J48" s="1"/>
      <c r="K48" s="1"/>
      <c r="L48" s="1"/>
      <c r="M48" s="1"/>
      <c r="N48" s="1"/>
      <c r="O48" s="1"/>
      <c r="P48" s="1"/>
      <c r="Q48" s="1"/>
      <c r="R48" s="1"/>
      <c r="S48" s="1"/>
      <c r="T48" s="1"/>
      <c r="U48" s="1"/>
      <c r="V48" s="1"/>
      <c r="W48" s="1"/>
      <c r="X48" s="1"/>
      <c r="Y48" s="1"/>
      <c r="Z48" s="1"/>
      <c r="AA48" s="1"/>
      <c r="AP48" s="274">
        <v>27</v>
      </c>
      <c r="AQ48" s="275" t="s">
        <v>210</v>
      </c>
    </row>
    <row r="49" spans="1:43"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P49" s="274">
        <v>28</v>
      </c>
      <c r="AQ49" s="275" t="s">
        <v>13</v>
      </c>
    </row>
    <row r="50" spans="1:43" ht="12">
      <c r="A50" s="1"/>
      <c r="B50" s="1"/>
      <c r="C50" s="1"/>
      <c r="D50" s="1"/>
      <c r="E50" s="1"/>
      <c r="F50" s="1"/>
      <c r="G50" s="1"/>
      <c r="H50" s="1"/>
      <c r="I50" s="1"/>
      <c r="J50" s="1"/>
      <c r="K50" s="1"/>
      <c r="L50" s="1"/>
      <c r="M50" s="1"/>
      <c r="N50" s="1"/>
      <c r="O50" s="1"/>
      <c r="P50" s="1"/>
      <c r="Q50" s="1"/>
      <c r="R50" s="1"/>
      <c r="S50" s="1"/>
      <c r="T50" s="1"/>
      <c r="U50" s="1"/>
      <c r="V50" s="1"/>
      <c r="W50" s="1"/>
      <c r="X50" s="1"/>
      <c r="Y50" s="1"/>
      <c r="Z50" s="1"/>
      <c r="AA50" s="1"/>
      <c r="AP50" s="274">
        <v>29</v>
      </c>
      <c r="AQ50" s="275" t="s">
        <v>14</v>
      </c>
    </row>
    <row r="51" spans="42:43" ht="11.25">
      <c r="AP51" s="274">
        <v>30</v>
      </c>
      <c r="AQ51" s="275" t="s">
        <v>15</v>
      </c>
    </row>
    <row r="52" spans="42:43" ht="11.25">
      <c r="AP52" s="274">
        <v>31</v>
      </c>
      <c r="AQ52" s="275" t="s">
        <v>211</v>
      </c>
    </row>
    <row r="53" spans="42:43" ht="11.25">
      <c r="AP53" s="274">
        <v>32</v>
      </c>
      <c r="AQ53" s="275" t="s">
        <v>212</v>
      </c>
    </row>
    <row r="54" spans="42:43" ht="11.25">
      <c r="AP54" s="274">
        <v>33</v>
      </c>
      <c r="AQ54" s="275" t="s">
        <v>213</v>
      </c>
    </row>
    <row r="55" spans="42:43" ht="11.25">
      <c r="AP55" s="274">
        <v>34</v>
      </c>
      <c r="AQ55" s="275" t="s">
        <v>16</v>
      </c>
    </row>
    <row r="56" spans="42:43" ht="11.25">
      <c r="AP56" s="274">
        <v>35</v>
      </c>
      <c r="AQ56" s="275" t="s">
        <v>214</v>
      </c>
    </row>
    <row r="57" spans="42:43" ht="11.25">
      <c r="AP57" s="274">
        <v>36</v>
      </c>
      <c r="AQ57" s="276" t="s">
        <v>215</v>
      </c>
    </row>
    <row r="58" spans="42:43" ht="11.25">
      <c r="AP58" s="274">
        <v>37</v>
      </c>
      <c r="AQ58" s="276" t="s">
        <v>17</v>
      </c>
    </row>
    <row r="59" spans="42:43" ht="11.25">
      <c r="AP59" s="274">
        <v>38</v>
      </c>
      <c r="AQ59" s="275" t="s">
        <v>216</v>
      </c>
    </row>
    <row r="60" spans="42:43" ht="11.25">
      <c r="AP60" s="274">
        <v>39</v>
      </c>
      <c r="AQ60" s="275" t="s">
        <v>217</v>
      </c>
    </row>
    <row r="61" spans="42:43" ht="11.25">
      <c r="AP61" s="274">
        <v>40</v>
      </c>
      <c r="AQ61" s="275" t="s">
        <v>218</v>
      </c>
    </row>
    <row r="62" spans="42:43" ht="11.25">
      <c r="AP62" s="274">
        <v>41</v>
      </c>
      <c r="AQ62" s="276" t="s">
        <v>219</v>
      </c>
    </row>
    <row r="63" spans="42:43" ht="11.25">
      <c r="AP63" s="274">
        <v>42</v>
      </c>
      <c r="AQ63" s="275" t="s">
        <v>220</v>
      </c>
    </row>
    <row r="64" spans="42:43" ht="11.25">
      <c r="AP64" s="274">
        <v>43</v>
      </c>
      <c r="AQ64" s="275" t="s">
        <v>18</v>
      </c>
    </row>
    <row r="65" spans="42:43" ht="11.25">
      <c r="AP65" s="274">
        <v>44</v>
      </c>
      <c r="AQ65" s="275" t="s">
        <v>221</v>
      </c>
    </row>
    <row r="66" spans="42:43" ht="11.25">
      <c r="AP66" s="274">
        <v>45</v>
      </c>
      <c r="AQ66" s="275" t="s">
        <v>19</v>
      </c>
    </row>
    <row r="67" spans="42:43" ht="11.25">
      <c r="AP67" s="274">
        <v>46</v>
      </c>
      <c r="AQ67" s="275" t="s">
        <v>222</v>
      </c>
    </row>
    <row r="68" spans="42:43" ht="11.25">
      <c r="AP68" s="274">
        <v>47</v>
      </c>
      <c r="AQ68" s="275" t="s">
        <v>20</v>
      </c>
    </row>
    <row r="69" spans="42:43" ht="11.25">
      <c r="AP69" s="274">
        <v>48</v>
      </c>
      <c r="AQ69" s="275" t="s">
        <v>223</v>
      </c>
    </row>
    <row r="70" spans="42:43" ht="11.25">
      <c r="AP70" s="274">
        <v>49</v>
      </c>
      <c r="AQ70" s="275" t="s">
        <v>224</v>
      </c>
    </row>
    <row r="71" spans="42:43" ht="11.25">
      <c r="AP71" s="274">
        <v>50</v>
      </c>
      <c r="AQ71" s="275" t="s">
        <v>21</v>
      </c>
    </row>
    <row r="72" spans="42:43" ht="11.25">
      <c r="AP72" s="274">
        <v>51</v>
      </c>
      <c r="AQ72" s="275" t="s">
        <v>225</v>
      </c>
    </row>
    <row r="73" spans="42:43" ht="11.25">
      <c r="AP73" s="274">
        <v>52</v>
      </c>
      <c r="AQ73" s="275" t="s">
        <v>226</v>
      </c>
    </row>
    <row r="74" spans="42:43" ht="11.25">
      <c r="AP74" s="274">
        <v>53</v>
      </c>
      <c r="AQ74" s="275" t="s">
        <v>227</v>
      </c>
    </row>
    <row r="75" spans="42:43" ht="11.25">
      <c r="AP75" s="274">
        <v>54</v>
      </c>
      <c r="AQ75" s="275" t="s">
        <v>228</v>
      </c>
    </row>
    <row r="76" spans="42:43" ht="11.25">
      <c r="AP76" s="274">
        <v>55</v>
      </c>
      <c r="AQ76" s="275" t="s">
        <v>22</v>
      </c>
    </row>
    <row r="77" spans="42:43" ht="11.25">
      <c r="AP77" s="274">
        <v>56</v>
      </c>
      <c r="AQ77" s="275" t="s">
        <v>229</v>
      </c>
    </row>
    <row r="78" spans="42:43" ht="11.25">
      <c r="AP78" s="274">
        <v>57</v>
      </c>
      <c r="AQ78" s="275" t="s">
        <v>230</v>
      </c>
    </row>
    <row r="79" spans="42:43" ht="11.25">
      <c r="AP79" s="274">
        <v>58</v>
      </c>
      <c r="AQ79" s="275" t="s">
        <v>231</v>
      </c>
    </row>
    <row r="80" spans="42:43" ht="11.25">
      <c r="AP80" s="274">
        <v>59</v>
      </c>
      <c r="AQ80" s="276" t="s">
        <v>23</v>
      </c>
    </row>
    <row r="81" spans="42:43" ht="11.25">
      <c r="AP81" s="274">
        <v>60</v>
      </c>
      <c r="AQ81" s="275" t="s">
        <v>232</v>
      </c>
    </row>
    <row r="82" spans="42:43" ht="11.25">
      <c r="AP82" s="274">
        <v>61</v>
      </c>
      <c r="AQ82" s="276" t="s">
        <v>233</v>
      </c>
    </row>
    <row r="83" spans="42:43" ht="11.25">
      <c r="AP83" s="274">
        <v>62</v>
      </c>
      <c r="AQ83" s="275" t="s">
        <v>234</v>
      </c>
    </row>
    <row r="84" spans="42:43" ht="11.25">
      <c r="AP84" s="274">
        <v>63</v>
      </c>
      <c r="AQ84" s="275" t="s">
        <v>24</v>
      </c>
    </row>
    <row r="85" spans="42:43" ht="11.25">
      <c r="AP85" s="274">
        <v>64</v>
      </c>
      <c r="AQ85" s="275" t="s">
        <v>25</v>
      </c>
    </row>
    <row r="86" spans="42:43" ht="11.25">
      <c r="AP86" s="274">
        <v>65</v>
      </c>
      <c r="AQ86" s="275" t="s">
        <v>235</v>
      </c>
    </row>
    <row r="87" spans="42:43" ht="11.25">
      <c r="AP87" s="274">
        <v>66</v>
      </c>
      <c r="AQ87" s="275" t="s">
        <v>26</v>
      </c>
    </row>
    <row r="88" spans="42:43" ht="11.25">
      <c r="AP88" s="274">
        <v>67</v>
      </c>
      <c r="AQ88" s="275" t="s">
        <v>236</v>
      </c>
    </row>
    <row r="89" spans="42:43" ht="11.25">
      <c r="AP89" s="274">
        <v>68</v>
      </c>
      <c r="AQ89" s="275" t="s">
        <v>237</v>
      </c>
    </row>
    <row r="90" spans="42:43" ht="11.25">
      <c r="AP90" s="274">
        <v>69</v>
      </c>
      <c r="AQ90" s="275" t="s">
        <v>27</v>
      </c>
    </row>
    <row r="91" spans="42:43" ht="11.25">
      <c r="AP91" s="274">
        <v>70</v>
      </c>
      <c r="AQ91" s="275" t="s">
        <v>28</v>
      </c>
    </row>
    <row r="92" spans="42:43" ht="11.25">
      <c r="AP92" s="274">
        <v>71</v>
      </c>
      <c r="AQ92" s="275" t="s">
        <v>238</v>
      </c>
    </row>
    <row r="93" spans="42:43" ht="11.25">
      <c r="AP93" s="274">
        <v>72</v>
      </c>
      <c r="AQ93" s="276" t="s">
        <v>239</v>
      </c>
    </row>
    <row r="94" spans="42:43" ht="11.25">
      <c r="AP94" s="274">
        <v>73</v>
      </c>
      <c r="AQ94" s="275" t="s">
        <v>240</v>
      </c>
    </row>
    <row r="95" spans="42:43" ht="11.25">
      <c r="AP95" s="274">
        <v>74</v>
      </c>
      <c r="AQ95" s="275" t="s">
        <v>241</v>
      </c>
    </row>
    <row r="96" spans="42:43" ht="11.25">
      <c r="AP96" s="274">
        <v>75</v>
      </c>
      <c r="AQ96" s="275" t="s">
        <v>242</v>
      </c>
    </row>
    <row r="97" spans="42:43" ht="11.25">
      <c r="AP97" s="274">
        <v>76</v>
      </c>
      <c r="AQ97" s="275" t="s">
        <v>29</v>
      </c>
    </row>
    <row r="98" spans="42:43" ht="11.25">
      <c r="AP98" s="274">
        <v>77</v>
      </c>
      <c r="AQ98" s="276" t="s">
        <v>243</v>
      </c>
    </row>
    <row r="99" spans="42:43" ht="11.25">
      <c r="AP99" s="274">
        <v>78</v>
      </c>
      <c r="AQ99" s="276" t="s">
        <v>244</v>
      </c>
    </row>
    <row r="100" spans="42:43" ht="11.25">
      <c r="AP100" s="274">
        <v>79</v>
      </c>
      <c r="AQ100" s="276" t="s">
        <v>245</v>
      </c>
    </row>
    <row r="101" spans="42:43" ht="11.25">
      <c r="AP101" s="274">
        <v>80</v>
      </c>
      <c r="AQ101" s="275" t="s">
        <v>246</v>
      </c>
    </row>
    <row r="102" spans="42:43" ht="11.25">
      <c r="AP102" s="12">
        <v>81</v>
      </c>
      <c r="AQ102" s="275" t="s">
        <v>247</v>
      </c>
    </row>
    <row r="103" ht="11.25">
      <c r="AQ103" s="12" t="s">
        <v>31</v>
      </c>
    </row>
  </sheetData>
  <sheetProtection sheet="1" objects="1" scenarios="1"/>
  <mergeCells count="45">
    <mergeCell ref="BQ12:BR12"/>
    <mergeCell ref="U14:W14"/>
    <mergeCell ref="C14:T15"/>
    <mergeCell ref="BH12:BJ12"/>
    <mergeCell ref="BT20:BU20"/>
    <mergeCell ref="BT18:BU18"/>
    <mergeCell ref="C17:L20"/>
    <mergeCell ref="BQ18:BR18"/>
    <mergeCell ref="BQ19:BR19"/>
    <mergeCell ref="BQ20:BR20"/>
    <mergeCell ref="BT19:BU19"/>
    <mergeCell ref="BT17:BU17"/>
    <mergeCell ref="B3:W4"/>
    <mergeCell ref="BT11:BU11"/>
    <mergeCell ref="BT12:BU12"/>
    <mergeCell ref="BQ17:BR17"/>
    <mergeCell ref="BQ11:BR11"/>
    <mergeCell ref="C9:W13"/>
    <mergeCell ref="H6:L6"/>
    <mergeCell ref="U6:W6"/>
    <mergeCell ref="P7:S7"/>
    <mergeCell ref="P6:T6"/>
    <mergeCell ref="U40:W40"/>
    <mergeCell ref="Q40:T40"/>
    <mergeCell ref="B40:P40"/>
    <mergeCell ref="U39:W39"/>
    <mergeCell ref="AL25:AL27"/>
    <mergeCell ref="AL31:AL33"/>
    <mergeCell ref="C28:W30"/>
    <mergeCell ref="U38:W38"/>
    <mergeCell ref="C38:T39"/>
    <mergeCell ref="C23:L27"/>
    <mergeCell ref="B37:T37"/>
    <mergeCell ref="B8:T8"/>
    <mergeCell ref="C21:W22"/>
    <mergeCell ref="Q26:S26"/>
    <mergeCell ref="U26:W26"/>
    <mergeCell ref="U25:W25"/>
    <mergeCell ref="Q25:S25"/>
    <mergeCell ref="S24:W24"/>
    <mergeCell ref="P23:W23"/>
    <mergeCell ref="U7:W7"/>
    <mergeCell ref="O6:O7"/>
    <mergeCell ref="H7:J7"/>
    <mergeCell ref="K7:L7"/>
  </mergeCells>
  <printOptions/>
  <pageMargins left="0.3937007874015748" right="0.3937007874015748" top="0.3937007874015748" bottom="0.3937007874015748" header="0.5118110236220472" footer="0.5118110236220472"/>
  <pageSetup fitToHeight="1" fitToWidth="1" orientation="portrait" paperSize="9" scale="92" r:id="rId4"/>
  <drawing r:id="rId3"/>
  <legacyDrawing r:id="rId2"/>
  <oleObjects>
    <oleObject progId="MSPhotoEd.3" shapeId="345318" r:id="rId1"/>
  </oleObjects>
</worksheet>
</file>

<file path=xl/worksheets/sheet6.xml><?xml version="1.0" encoding="utf-8"?>
<worksheet xmlns="http://schemas.openxmlformats.org/spreadsheetml/2006/main" xmlns:r="http://schemas.openxmlformats.org/officeDocument/2006/relationships">
  <sheetPr codeName="Foglio20">
    <pageSetUpPr fitToPage="1"/>
  </sheetPr>
  <dimension ref="A1:AR81"/>
  <sheetViews>
    <sheetView showGridLines="0" showRowColHeaders="0" workbookViewId="0" topLeftCell="A15">
      <selection activeCell="A1" sqref="A1"/>
    </sheetView>
  </sheetViews>
  <sheetFormatPr defaultColWidth="9.140625" defaultRowHeight="11.25"/>
  <cols>
    <col min="1" max="1" width="3.7109375" style="1" customWidth="1"/>
    <col min="2" max="2" width="3.28125" style="1" customWidth="1"/>
    <col min="3" max="3" width="12.140625" style="1" customWidth="1"/>
    <col min="4" max="4" width="14.00390625" style="1" customWidth="1"/>
    <col min="5" max="5" width="10.421875" style="1" customWidth="1"/>
    <col min="6" max="6" width="9.140625" style="1" customWidth="1"/>
    <col min="7" max="7" width="7.00390625" style="1" customWidth="1"/>
    <col min="8" max="8" width="10.57421875" style="1" customWidth="1"/>
    <col min="9" max="10" width="8.7109375" style="1" customWidth="1"/>
    <col min="11" max="11" width="9.140625" style="1" customWidth="1"/>
    <col min="12" max="12" width="10.28125" style="1" customWidth="1"/>
    <col min="13" max="22" width="7.7109375" style="1" customWidth="1"/>
    <col min="23" max="29" width="4.140625" style="1" customWidth="1"/>
    <col min="30" max="30" width="3.8515625" style="1" customWidth="1"/>
    <col min="31" max="31" width="7.28125" style="1" customWidth="1"/>
    <col min="32" max="32" width="4.140625" style="1" customWidth="1"/>
    <col min="33" max="33" width="6.7109375" style="1" customWidth="1"/>
    <col min="34" max="34" width="4.7109375" style="1" customWidth="1"/>
    <col min="35" max="35" width="8.421875" style="1" customWidth="1"/>
    <col min="36" max="36" width="4.7109375" style="1" customWidth="1"/>
    <col min="37" max="37" width="8.421875" style="1" customWidth="1"/>
    <col min="38" max="38" width="4.7109375" style="1" customWidth="1"/>
    <col min="39" max="39" width="10.28125" style="1" customWidth="1"/>
    <col min="40" max="42" width="4.7109375" style="1" customWidth="1"/>
    <col min="43" max="43" width="6.140625" style="1" customWidth="1"/>
    <col min="44" max="16384" width="9.140625" style="1" customWidth="1"/>
  </cols>
  <sheetData>
    <row r="1" spans="10:44" ht="56.25" customHeight="1">
      <c r="J1" s="2"/>
      <c r="K1" s="2"/>
      <c r="L1" s="2"/>
      <c r="M1" s="2"/>
      <c r="N1" s="2"/>
      <c r="O1" s="2"/>
      <c r="P1" s="2"/>
      <c r="Q1" s="2"/>
      <c r="R1" s="2"/>
      <c r="S1" s="2"/>
      <c r="T1" s="2"/>
      <c r="U1" s="2"/>
      <c r="V1" s="2"/>
      <c r="AL1" s="12"/>
      <c r="AM1" s="12"/>
      <c r="AN1" s="12"/>
      <c r="AO1" s="12"/>
      <c r="AP1" s="12"/>
      <c r="AQ1" s="12"/>
      <c r="AR1" s="12"/>
    </row>
    <row r="2" spans="38:44" s="2" customFormat="1" ht="13.5" customHeight="1">
      <c r="AL2" s="13"/>
      <c r="AM2" s="12"/>
      <c r="AN2" s="12"/>
      <c r="AO2" s="12"/>
      <c r="AP2" s="12"/>
      <c r="AQ2" s="281">
        <f>MATCH(AQ3,database!C$3:AA$3,0)</f>
        <v>1</v>
      </c>
      <c r="AR2" s="13"/>
    </row>
    <row r="3" spans="2:44" ht="12" customHeight="1">
      <c r="B3" s="352" t="s">
        <v>129</v>
      </c>
      <c r="C3" s="353"/>
      <c r="D3" s="353"/>
      <c r="E3" s="353"/>
      <c r="F3" s="353"/>
      <c r="G3" s="353"/>
      <c r="H3" s="353"/>
      <c r="I3" s="353"/>
      <c r="J3" s="353"/>
      <c r="K3" s="353"/>
      <c r="L3" s="353"/>
      <c r="AL3" s="12"/>
      <c r="AM3" s="12"/>
      <c r="AN3" s="12"/>
      <c r="AO3" s="12"/>
      <c r="AP3" s="12"/>
      <c r="AQ3" s="8" t="s">
        <v>249</v>
      </c>
      <c r="AR3" s="12"/>
    </row>
    <row r="4" spans="2:44" ht="12" customHeight="1">
      <c r="B4" s="353"/>
      <c r="C4" s="353"/>
      <c r="D4" s="353"/>
      <c r="E4" s="353"/>
      <c r="F4" s="353"/>
      <c r="G4" s="353"/>
      <c r="H4" s="353"/>
      <c r="I4" s="353"/>
      <c r="J4" s="353"/>
      <c r="K4" s="353"/>
      <c r="L4" s="353"/>
      <c r="AL4" s="12"/>
      <c r="AM4" s="14"/>
      <c r="AN4" s="15"/>
      <c r="AO4" s="15"/>
      <c r="AP4" s="15"/>
      <c r="AQ4" s="16"/>
      <c r="AR4" s="12"/>
    </row>
    <row r="5" spans="38:44" ht="12">
      <c r="AL5" s="12"/>
      <c r="AM5" s="17" t="s">
        <v>31</v>
      </c>
      <c r="AN5" s="12">
        <f>MATCH(AM5,database!B$4:B$84,0)</f>
        <v>81</v>
      </c>
      <c r="AO5" s="12"/>
      <c r="AP5" s="12"/>
      <c r="AQ5" s="18">
        <f>IF($AN5=0,"n.a.",INDEX(database!$C$4:$AA$84,$AN5,AQ$2))</f>
        <v>58.1</v>
      </c>
      <c r="AR5" s="12"/>
    </row>
    <row r="6" spans="2:44" ht="12.75">
      <c r="B6" s="19" t="s">
        <v>84</v>
      </c>
      <c r="C6" s="12"/>
      <c r="D6" s="12"/>
      <c r="E6" s="354">
        <f>IF(AM6=0,"",AM6)</f>
      </c>
      <c r="F6" s="355"/>
      <c r="G6" s="12"/>
      <c r="H6" s="357" t="s">
        <v>88</v>
      </c>
      <c r="I6" s="356" t="s">
        <v>92</v>
      </c>
      <c r="J6" s="356"/>
      <c r="K6" s="356"/>
      <c r="L6" s="25">
        <f>IF(AM6=0,"",contesto!F16)</f>
      </c>
      <c r="AL6" s="12"/>
      <c r="AM6" s="21">
        <f>contesto!AB21</f>
        <v>0</v>
      </c>
      <c r="AN6" s="12"/>
      <c r="AO6" s="12"/>
      <c r="AP6" s="12"/>
      <c r="AQ6" s="12"/>
      <c r="AR6" s="12"/>
    </row>
    <row r="7" spans="2:44" ht="12">
      <c r="B7" s="12"/>
      <c r="C7" s="12"/>
      <c r="D7" s="12"/>
      <c r="E7" s="22" t="s">
        <v>136</v>
      </c>
      <c r="F7" s="23">
        <f>IF(contesto!$H$10=0,"",contesto!$H$10)</f>
      </c>
      <c r="G7" s="12"/>
      <c r="H7" s="358"/>
      <c r="I7" s="356" t="s">
        <v>85</v>
      </c>
      <c r="J7" s="356"/>
      <c r="K7" s="24">
        <f>IF(AM6=0,"",IF(contesto!AC23=0,1,contesto!AC23))</f>
      </c>
      <c r="L7" s="25">
        <f>IF(AM6=0,"",L6*K7)</f>
      </c>
      <c r="W7" s="12"/>
      <c r="X7" s="12"/>
      <c r="Y7" s="12"/>
      <c r="Z7" s="12"/>
      <c r="AA7" s="12"/>
      <c r="AB7" s="12"/>
      <c r="AC7" s="12"/>
      <c r="AL7" s="12"/>
      <c r="AM7" s="26" t="s">
        <v>282</v>
      </c>
      <c r="AN7" s="12"/>
      <c r="AO7" s="12"/>
      <c r="AP7" s="12"/>
      <c r="AQ7" s="12"/>
      <c r="AR7" s="12"/>
    </row>
    <row r="8" spans="2:44" ht="12.75">
      <c r="B8" s="27"/>
      <c r="C8" s="27"/>
      <c r="D8" s="27"/>
      <c r="E8" s="27"/>
      <c r="AL8" s="12"/>
      <c r="AM8" s="28" t="s">
        <v>95</v>
      </c>
      <c r="AN8" s="12"/>
      <c r="AO8" s="12"/>
      <c r="AP8" s="12"/>
      <c r="AQ8" s="12"/>
      <c r="AR8" s="12"/>
    </row>
    <row r="9" spans="1:44" ht="12">
      <c r="A9" s="29"/>
      <c r="B9" s="30" t="s">
        <v>164</v>
      </c>
      <c r="C9" s="296" t="s">
        <v>191</v>
      </c>
      <c r="D9" s="303"/>
      <c r="E9" s="303"/>
      <c r="F9" s="303"/>
      <c r="G9" s="303"/>
      <c r="H9" s="303"/>
      <c r="I9" s="303"/>
      <c r="J9" s="303"/>
      <c r="K9" s="303"/>
      <c r="L9" s="303"/>
      <c r="M9" s="12"/>
      <c r="N9" s="12"/>
      <c r="O9" s="12"/>
      <c r="P9" s="12"/>
      <c r="Q9" s="12"/>
      <c r="R9" s="12"/>
      <c r="S9" s="12"/>
      <c r="T9" s="12"/>
      <c r="U9" s="12"/>
      <c r="V9" s="12"/>
      <c r="W9" s="12"/>
      <c r="X9" s="12"/>
      <c r="Y9" s="12"/>
      <c r="Z9" s="12"/>
      <c r="AA9" s="12"/>
      <c r="AB9" s="12"/>
      <c r="AC9" s="12"/>
      <c r="AD9" s="12"/>
      <c r="AE9" s="12"/>
      <c r="AF9" s="12"/>
      <c r="AJ9" s="31"/>
      <c r="AK9" s="32"/>
      <c r="AL9" s="12"/>
      <c r="AM9" s="12"/>
      <c r="AN9" s="12"/>
      <c r="AO9" s="12"/>
      <c r="AP9" s="12"/>
      <c r="AQ9" s="12"/>
      <c r="AR9" s="12"/>
    </row>
    <row r="10" spans="1:32" ht="12">
      <c r="A10" s="29"/>
      <c r="C10" s="303"/>
      <c r="D10" s="303"/>
      <c r="E10" s="303"/>
      <c r="F10" s="303"/>
      <c r="G10" s="303"/>
      <c r="H10" s="303"/>
      <c r="I10" s="303"/>
      <c r="J10" s="303"/>
      <c r="K10" s="303"/>
      <c r="L10" s="303"/>
      <c r="M10" s="12"/>
      <c r="N10" s="12"/>
      <c r="O10" s="12"/>
      <c r="P10" s="12"/>
      <c r="Q10" s="12"/>
      <c r="R10" s="12"/>
      <c r="S10" s="12"/>
      <c r="T10" s="12"/>
      <c r="U10" s="12"/>
      <c r="V10" s="12"/>
      <c r="W10" s="12"/>
      <c r="X10" s="12"/>
      <c r="Y10" s="12"/>
      <c r="Z10" s="12"/>
      <c r="AA10" s="12"/>
      <c r="AB10" s="12"/>
      <c r="AC10" s="12"/>
      <c r="AD10" s="12"/>
      <c r="AE10" s="12"/>
      <c r="AF10" s="12"/>
    </row>
    <row r="11" spans="1:39" ht="12">
      <c r="A11" s="29"/>
      <c r="C11" s="303"/>
      <c r="D11" s="303"/>
      <c r="E11" s="303"/>
      <c r="F11" s="303"/>
      <c r="G11" s="303"/>
      <c r="H11" s="303"/>
      <c r="I11" s="303"/>
      <c r="J11" s="303"/>
      <c r="K11" s="303"/>
      <c r="L11" s="303"/>
      <c r="M11" s="12"/>
      <c r="N11" s="12"/>
      <c r="O11" s="12"/>
      <c r="P11" s="12"/>
      <c r="Q11" s="12"/>
      <c r="R11" s="12"/>
      <c r="S11" s="12"/>
      <c r="T11" s="12"/>
      <c r="U11" s="12"/>
      <c r="V11" s="12"/>
      <c r="W11" s="12"/>
      <c r="X11" s="12"/>
      <c r="Y11" s="12"/>
      <c r="Z11" s="12"/>
      <c r="AA11" s="12"/>
      <c r="AB11" s="12"/>
      <c r="AC11" s="12"/>
      <c r="AD11" s="12"/>
      <c r="AE11" s="12"/>
      <c r="AF11" s="12"/>
      <c r="AM11" s="33"/>
    </row>
    <row r="12" spans="3:33" ht="12">
      <c r="C12" s="344">
        <f>IF(AND(AM6=0,SUM(L15,K18,K20,K22,K24,K26,K30,L31,K35,L36)&gt;0),AG12,"")</f>
      </c>
      <c r="D12" s="344"/>
      <c r="E12" s="344"/>
      <c r="F12" s="344"/>
      <c r="G12" s="344"/>
      <c r="H12" s="344"/>
      <c r="I12" s="344"/>
      <c r="K12" s="431" t="s">
        <v>132</v>
      </c>
      <c r="L12" s="431" t="s">
        <v>131</v>
      </c>
      <c r="AE12" s="8"/>
      <c r="AG12" s="33" t="s">
        <v>177</v>
      </c>
    </row>
    <row r="13" spans="3:12" ht="12">
      <c r="C13" s="344"/>
      <c r="D13" s="344"/>
      <c r="E13" s="344"/>
      <c r="F13" s="344"/>
      <c r="G13" s="344"/>
      <c r="H13" s="344"/>
      <c r="I13" s="344"/>
      <c r="K13" s="432"/>
      <c r="L13" s="432"/>
    </row>
    <row r="14" spans="1:33" ht="12">
      <c r="A14" s="29"/>
      <c r="B14" s="55" t="s">
        <v>30</v>
      </c>
      <c r="C14" s="385" t="s">
        <v>133</v>
      </c>
      <c r="D14" s="293"/>
      <c r="E14" s="293"/>
      <c r="F14" s="293"/>
      <c r="G14" s="293"/>
      <c r="AG14" s="33" t="s">
        <v>176</v>
      </c>
    </row>
    <row r="15" spans="2:12" ht="12">
      <c r="B15" s="34"/>
      <c r="C15" s="293"/>
      <c r="D15" s="293"/>
      <c r="E15" s="293"/>
      <c r="F15" s="293"/>
      <c r="G15" s="293"/>
      <c r="H15" s="419" t="s">
        <v>134</v>
      </c>
      <c r="I15" s="420"/>
      <c r="J15" s="421"/>
      <c r="K15" s="24">
        <v>1</v>
      </c>
      <c r="L15" s="171"/>
    </row>
    <row r="16" spans="3:33" ht="12">
      <c r="C16" s="293"/>
      <c r="D16" s="293"/>
      <c r="E16" s="293"/>
      <c r="F16" s="293"/>
      <c r="G16" s="293"/>
      <c r="AG16" s="33" t="s">
        <v>175</v>
      </c>
    </row>
    <row r="17" spans="3:7" ht="12">
      <c r="C17" s="418"/>
      <c r="D17" s="418"/>
      <c r="E17" s="418"/>
      <c r="F17" s="418"/>
      <c r="G17" s="418"/>
    </row>
    <row r="18" spans="1:36" ht="12">
      <c r="A18" s="29"/>
      <c r="B18" s="55" t="s">
        <v>32</v>
      </c>
      <c r="C18" s="312" t="s">
        <v>143</v>
      </c>
      <c r="D18" s="293"/>
      <c r="E18" s="293"/>
      <c r="F18" s="293"/>
      <c r="G18" s="448"/>
      <c r="H18" s="440" t="s">
        <v>138</v>
      </c>
      <c r="I18" s="441"/>
      <c r="J18" s="442"/>
      <c r="K18" s="446"/>
      <c r="L18" s="438">
        <f>IF(OR(L$15=0,K18=0),"",K18*L15)</f>
      </c>
      <c r="AG18" s="10">
        <f>IF(K18&gt;1,1,0)</f>
        <v>0</v>
      </c>
      <c r="AH18" s="6"/>
      <c r="AI18" s="9">
        <f>IF(AND(K18&gt;0,L15=0),1,0)</f>
        <v>0</v>
      </c>
      <c r="AJ18" s="6"/>
    </row>
    <row r="19" spans="2:36" ht="12">
      <c r="B19" s="34"/>
      <c r="C19" s="293"/>
      <c r="D19" s="293"/>
      <c r="E19" s="293"/>
      <c r="F19" s="293"/>
      <c r="G19" s="448"/>
      <c r="H19" s="443"/>
      <c r="I19" s="444"/>
      <c r="J19" s="445"/>
      <c r="K19" s="447"/>
      <c r="L19" s="439"/>
      <c r="AG19" s="10"/>
      <c r="AH19" s="6"/>
      <c r="AI19" s="10"/>
      <c r="AJ19" s="6"/>
    </row>
    <row r="20" spans="1:36" ht="12">
      <c r="A20" s="29"/>
      <c r="B20" s="55" t="s">
        <v>37</v>
      </c>
      <c r="C20" s="293"/>
      <c r="D20" s="293"/>
      <c r="E20" s="293"/>
      <c r="F20" s="293"/>
      <c r="G20" s="448"/>
      <c r="H20" s="440" t="s">
        <v>137</v>
      </c>
      <c r="I20" s="441"/>
      <c r="J20" s="442"/>
      <c r="K20" s="446"/>
      <c r="L20" s="438">
        <f>IF(L18="","",IF(OR(L$15=0,K20=0),"",K20*L18))</f>
      </c>
      <c r="AG20" s="10">
        <f>IF(K20&gt;1,1,0)</f>
        <v>0</v>
      </c>
      <c r="AH20" s="6"/>
      <c r="AI20" s="9" t="b">
        <f>IF(K20&gt;0,IF(OR(K18=0,L15=0),1,0))</f>
        <v>0</v>
      </c>
      <c r="AJ20" s="6"/>
    </row>
    <row r="21" spans="3:36" ht="12">
      <c r="C21" s="418"/>
      <c r="D21" s="418"/>
      <c r="E21" s="418"/>
      <c r="F21" s="418"/>
      <c r="G21" s="449"/>
      <c r="H21" s="443"/>
      <c r="I21" s="444"/>
      <c r="J21" s="445"/>
      <c r="K21" s="447"/>
      <c r="L21" s="439"/>
      <c r="AG21" s="10"/>
      <c r="AH21" s="6"/>
      <c r="AI21" s="10"/>
      <c r="AJ21" s="6"/>
    </row>
    <row r="22" spans="1:36" ht="12">
      <c r="A22" s="29"/>
      <c r="B22" s="55" t="s">
        <v>38</v>
      </c>
      <c r="C22" s="316"/>
      <c r="D22" s="316"/>
      <c r="E22" s="316"/>
      <c r="F22" s="316"/>
      <c r="G22" s="450"/>
      <c r="H22" s="452" t="s">
        <v>141</v>
      </c>
      <c r="I22" s="441"/>
      <c r="J22" s="442"/>
      <c r="K22" s="446"/>
      <c r="L22" s="438">
        <f>IF(L20="","",IF(OR(L$15=0,K22=0),"",K22*L20))</f>
      </c>
      <c r="AG22" s="10">
        <f>IF(K22&gt;1,1,0)</f>
        <v>0</v>
      </c>
      <c r="AH22" s="6"/>
      <c r="AI22" s="9" t="b">
        <f>IF(K22&gt;0,IF(OR(K20=0,K18=0,L15=0),1,0))</f>
        <v>0</v>
      </c>
      <c r="AJ22" s="6"/>
    </row>
    <row r="23" spans="3:36" ht="12">
      <c r="C23" s="316"/>
      <c r="D23" s="316"/>
      <c r="E23" s="316"/>
      <c r="F23" s="316"/>
      <c r="G23" s="450"/>
      <c r="H23" s="443"/>
      <c r="I23" s="444"/>
      <c r="J23" s="445"/>
      <c r="K23" s="447"/>
      <c r="L23" s="439"/>
      <c r="AG23" s="10"/>
      <c r="AH23" s="6"/>
      <c r="AI23" s="10"/>
      <c r="AJ23" s="6"/>
    </row>
    <row r="24" spans="1:36" ht="12">
      <c r="A24" s="29"/>
      <c r="B24" s="55" t="s">
        <v>51</v>
      </c>
      <c r="C24" s="344">
        <f>IF(AG36&gt;0,AG14,"")</f>
      </c>
      <c r="D24" s="344"/>
      <c r="E24" s="344"/>
      <c r="F24" s="344"/>
      <c r="G24" s="429"/>
      <c r="H24" s="452" t="s">
        <v>140</v>
      </c>
      <c r="I24" s="441"/>
      <c r="J24" s="442"/>
      <c r="K24" s="446"/>
      <c r="L24" s="438">
        <f>IF(L22="","",IF(OR(L$15=0,K24=0),"",K24*L22))</f>
      </c>
      <c r="AG24" s="10">
        <f>IF(K24&gt;1,1,0)</f>
        <v>0</v>
      </c>
      <c r="AH24" s="6"/>
      <c r="AI24" s="9" t="b">
        <f>IF(K24&gt;0,IF(OR(K22=0,K20=0,K18=0,L15=0),1,0))</f>
        <v>0</v>
      </c>
      <c r="AJ24" s="6"/>
    </row>
    <row r="25" spans="3:36" ht="12">
      <c r="C25" s="344"/>
      <c r="D25" s="344"/>
      <c r="E25" s="344"/>
      <c r="F25" s="344"/>
      <c r="G25" s="429"/>
      <c r="H25" s="443"/>
      <c r="I25" s="444"/>
      <c r="J25" s="445"/>
      <c r="K25" s="447"/>
      <c r="L25" s="439"/>
      <c r="AG25" s="10"/>
      <c r="AH25" s="6"/>
      <c r="AI25" s="10"/>
      <c r="AJ25" s="6"/>
    </row>
    <row r="26" spans="1:36" ht="12">
      <c r="A26" s="29"/>
      <c r="B26" s="55" t="s">
        <v>55</v>
      </c>
      <c r="C26" s="437">
        <f>IF(AI37&gt;0,AG16,"")</f>
      </c>
      <c r="D26" s="344"/>
      <c r="E26" s="344"/>
      <c r="F26" s="344"/>
      <c r="G26" s="429"/>
      <c r="H26" s="440" t="s">
        <v>139</v>
      </c>
      <c r="I26" s="441"/>
      <c r="J26" s="442"/>
      <c r="K26" s="446"/>
      <c r="L26" s="438">
        <f>IF(L24="","",IF(OR(L$15=0,K26=0),"",K26*L24))</f>
      </c>
      <c r="AG26" s="10">
        <f>IF(K26&gt;1,1,0)</f>
        <v>0</v>
      </c>
      <c r="AH26" s="6"/>
      <c r="AI26" s="9" t="b">
        <f>IF(K26&gt;0,IF(OR(K24=0,K22=0,K20=0,K18=0,L15=0),1,0))</f>
        <v>0</v>
      </c>
      <c r="AJ26" s="6"/>
    </row>
    <row r="27" spans="3:36" ht="12">
      <c r="C27" s="344"/>
      <c r="D27" s="344"/>
      <c r="E27" s="344"/>
      <c r="F27" s="344"/>
      <c r="G27" s="429"/>
      <c r="H27" s="443"/>
      <c r="I27" s="444"/>
      <c r="J27" s="445"/>
      <c r="K27" s="447"/>
      <c r="L27" s="439"/>
      <c r="AG27" s="10"/>
      <c r="AH27" s="6"/>
      <c r="AI27" s="10"/>
      <c r="AJ27" s="6"/>
    </row>
    <row r="28" spans="8:36" ht="12">
      <c r="H28" s="451" t="s">
        <v>142</v>
      </c>
      <c r="I28" s="420"/>
      <c r="J28" s="421"/>
      <c r="K28" s="173">
        <f>IF(L26="","",L26/L15)</f>
      </c>
      <c r="L28" s="20" t="str">
        <f>IF(AM6=0,"n.a.",IF(K28="","n.a.",K28*L15))</f>
        <v>n.a.</v>
      </c>
      <c r="AG28" s="10"/>
      <c r="AH28" s="6"/>
      <c r="AI28" s="10"/>
      <c r="AJ28" s="6"/>
    </row>
    <row r="29" spans="12:36" ht="12">
      <c r="L29" s="288"/>
      <c r="AG29" s="10"/>
      <c r="AH29" s="6"/>
      <c r="AI29" s="10"/>
      <c r="AJ29" s="6"/>
    </row>
    <row r="30" spans="1:36" ht="12">
      <c r="A30" s="29"/>
      <c r="B30" s="55" t="s">
        <v>123</v>
      </c>
      <c r="C30" s="312" t="s">
        <v>147</v>
      </c>
      <c r="D30" s="293"/>
      <c r="E30" s="293"/>
      <c r="F30" s="293"/>
      <c r="G30" s="293"/>
      <c r="H30" s="423" t="s">
        <v>144</v>
      </c>
      <c r="I30" s="430" t="s">
        <v>146</v>
      </c>
      <c r="J30" s="425"/>
      <c r="K30" s="174"/>
      <c r="L30" s="20" t="str">
        <f>IF(AM6=0,"n.a.",IF(OR(L28="",L28="n.a.",K30=0),"n.a.",K30*L28))</f>
        <v>n.a.</v>
      </c>
      <c r="AG30" s="10">
        <f>IF(K30&gt;1,1,0)</f>
        <v>0</v>
      </c>
      <c r="AH30" s="6"/>
      <c r="AI30" s="9" t="b">
        <f>IF(K30&gt;0,IF(OR(K26=0,K24=0,K22=0,K20=0,K18=0,L15=0),1,0))</f>
        <v>0</v>
      </c>
      <c r="AJ30" s="6"/>
    </row>
    <row r="31" spans="1:36" ht="12">
      <c r="A31" s="29"/>
      <c r="B31" s="55" t="s">
        <v>124</v>
      </c>
      <c r="C31" s="293"/>
      <c r="D31" s="293"/>
      <c r="E31" s="293"/>
      <c r="F31" s="293"/>
      <c r="G31" s="293"/>
      <c r="H31" s="423"/>
      <c r="I31" s="424" t="s">
        <v>151</v>
      </c>
      <c r="J31" s="426"/>
      <c r="K31" s="427"/>
      <c r="L31" s="171"/>
      <c r="AG31" s="10"/>
      <c r="AH31" s="6"/>
      <c r="AI31" s="9" t="b">
        <f>IF(L31&gt;0,IF(OR(K30=0,K26=0,K24=0,K22=0,K20=0,K18=0,L15=0),1,0))</f>
        <v>0</v>
      </c>
      <c r="AJ31" s="6"/>
    </row>
    <row r="32" spans="1:36" ht="12">
      <c r="A32" s="29"/>
      <c r="C32" s="293"/>
      <c r="D32" s="293"/>
      <c r="E32" s="293"/>
      <c r="F32" s="293"/>
      <c r="G32" s="293"/>
      <c r="H32" s="423"/>
      <c r="I32" s="428" t="s">
        <v>145</v>
      </c>
      <c r="J32" s="426"/>
      <c r="K32" s="427"/>
      <c r="L32" s="20" t="str">
        <f>IF(AM6=0,"n.a.",IF(OR(L31=0,L28="",L28="n.a.",L30="",L30="n.a."),"n.a.",L31*L30))</f>
        <v>n.a.</v>
      </c>
      <c r="AG32" s="10"/>
      <c r="AH32" s="6"/>
      <c r="AI32" s="10"/>
      <c r="AJ32" s="6"/>
    </row>
    <row r="33" spans="3:36" ht="12">
      <c r="C33" s="418"/>
      <c r="D33" s="418"/>
      <c r="E33" s="418"/>
      <c r="F33" s="418"/>
      <c r="G33" s="418"/>
      <c r="H33" s="344">
        <f>IF(AND(AM6=0,SUM(K30,L31,K35,L36)&gt;0),AG12,"")</f>
      </c>
      <c r="I33" s="344"/>
      <c r="J33" s="344"/>
      <c r="K33" s="344"/>
      <c r="L33" s="344"/>
      <c r="AG33" s="10"/>
      <c r="AH33" s="6"/>
      <c r="AI33" s="10"/>
      <c r="AJ33" s="6"/>
    </row>
    <row r="34" spans="2:36" ht="12">
      <c r="B34" s="55"/>
      <c r="C34" s="296" t="s">
        <v>150</v>
      </c>
      <c r="D34" s="303"/>
      <c r="E34" s="303"/>
      <c r="F34" s="303"/>
      <c r="G34" s="303"/>
      <c r="H34" s="344"/>
      <c r="I34" s="344"/>
      <c r="J34" s="344"/>
      <c r="K34" s="344"/>
      <c r="L34" s="344"/>
      <c r="AG34" s="10"/>
      <c r="AH34" s="6"/>
      <c r="AI34" s="10"/>
      <c r="AJ34" s="6"/>
    </row>
    <row r="35" spans="1:36" ht="12">
      <c r="A35" s="29"/>
      <c r="B35" s="55" t="s">
        <v>125</v>
      </c>
      <c r="C35" s="303"/>
      <c r="D35" s="303"/>
      <c r="E35" s="303"/>
      <c r="F35" s="303"/>
      <c r="G35" s="303"/>
      <c r="H35" s="422" t="s">
        <v>148</v>
      </c>
      <c r="I35" s="424" t="s">
        <v>149</v>
      </c>
      <c r="J35" s="425"/>
      <c r="K35" s="174"/>
      <c r="L35" s="20" t="str">
        <f>IF(AM6=0,"n.a.",IF(OR(L32="",L32="n.a.",L30="n.a.",K35=0),"n.a.",K35*L30))</f>
        <v>n.a.</v>
      </c>
      <c r="AG35" s="10">
        <f>IF(K35&gt;1,1,0)</f>
        <v>0</v>
      </c>
      <c r="AH35" s="6"/>
      <c r="AI35" s="9" t="b">
        <f>IF(K35&gt;0,IF(OR(L31=0,K30=0,K26=0,K24=0,K22=0,K20=0,K18=0,L15=0),1,0))</f>
        <v>0</v>
      </c>
      <c r="AJ35" s="6"/>
    </row>
    <row r="36" spans="2:36" ht="12">
      <c r="B36" s="55" t="s">
        <v>126</v>
      </c>
      <c r="C36" s="303"/>
      <c r="D36" s="303"/>
      <c r="E36" s="303"/>
      <c r="F36" s="303"/>
      <c r="G36" s="303"/>
      <c r="H36" s="423"/>
      <c r="I36" s="424" t="s">
        <v>151</v>
      </c>
      <c r="J36" s="426"/>
      <c r="K36" s="427"/>
      <c r="L36" s="171"/>
      <c r="AG36" s="10">
        <f>SUM(AG18:AG35)</f>
        <v>0</v>
      </c>
      <c r="AH36" s="6"/>
      <c r="AI36" s="9" t="b">
        <f>IF(L36&gt;0,IF(OR(K35=0,L31=0,K30=0,K26=0,K24=0,K22=0,K20=0,K18=0,L15=0),1,0))</f>
        <v>0</v>
      </c>
      <c r="AJ36" s="6"/>
    </row>
    <row r="37" spans="1:36" ht="12">
      <c r="A37" s="29"/>
      <c r="C37" s="435"/>
      <c r="D37" s="435"/>
      <c r="E37" s="435"/>
      <c r="F37" s="435"/>
      <c r="G37" s="435"/>
      <c r="H37" s="423"/>
      <c r="I37" s="428" t="s">
        <v>145</v>
      </c>
      <c r="J37" s="426"/>
      <c r="K37" s="427"/>
      <c r="L37" s="20" t="str">
        <f>IF(AM6=0,"n.a.",IF(OR(L36=0,L32="",L32="n.a.",L35="",L35="n.a."),"n.a.",L36*L35))</f>
        <v>n.a.</v>
      </c>
      <c r="AG37" s="6"/>
      <c r="AH37" s="6"/>
      <c r="AI37" s="10">
        <f>SUM(AI18:AI36)</f>
        <v>0</v>
      </c>
      <c r="AJ37" s="6"/>
    </row>
    <row r="38" spans="3:7" ht="12">
      <c r="C38" s="297"/>
      <c r="D38" s="297"/>
      <c r="E38" s="297"/>
      <c r="F38" s="297"/>
      <c r="G38" s="297"/>
    </row>
    <row r="39" spans="3:12" ht="12">
      <c r="C39" s="37"/>
      <c r="D39" s="37"/>
      <c r="E39" s="37"/>
      <c r="F39" s="37"/>
      <c r="G39" s="37"/>
      <c r="H39" s="436" t="s">
        <v>178</v>
      </c>
      <c r="I39" s="436"/>
      <c r="J39" s="436"/>
      <c r="K39" s="436"/>
      <c r="L39" s="175" t="str">
        <f>IF(AM6=0,"n.a.",IF(OR(L37=0,L32="",L32="n.a.",L37="",L37="n.a."),"n.a.",L37/L32))</f>
        <v>n.a.</v>
      </c>
    </row>
    <row r="41" ht="12"/>
    <row r="42" ht="12" customHeight="1"/>
    <row r="43" ht="12"/>
    <row r="45" spans="38:39" ht="12">
      <c r="AL45" s="97"/>
      <c r="AM45" s="98"/>
    </row>
    <row r="46" spans="38:39" ht="12">
      <c r="AL46" s="98"/>
      <c r="AM46" s="104"/>
    </row>
    <row r="47" spans="38:39" ht="12">
      <c r="AL47" s="97"/>
      <c r="AM47" s="104"/>
    </row>
    <row r="48" spans="38:39" ht="12">
      <c r="AL48" s="98"/>
      <c r="AM48" s="104"/>
    </row>
    <row r="49" spans="38:39" ht="12">
      <c r="AL49" s="97"/>
      <c r="AM49" s="104"/>
    </row>
    <row r="50" spans="38:39" ht="12">
      <c r="AL50" s="97"/>
      <c r="AM50" s="104"/>
    </row>
    <row r="51" spans="38:39" ht="12">
      <c r="AL51" s="97"/>
      <c r="AM51" s="104"/>
    </row>
    <row r="52" spans="38:39" ht="12">
      <c r="AL52" s="97"/>
      <c r="AM52" s="104"/>
    </row>
    <row r="53" spans="1:39" s="5" customFormat="1" ht="12">
      <c r="A53" s="1"/>
      <c r="B53" s="1"/>
      <c r="C53" s="1"/>
      <c r="D53" s="1"/>
      <c r="E53" s="1"/>
      <c r="F53" s="1"/>
      <c r="G53" s="1"/>
      <c r="H53" s="1"/>
      <c r="I53" s="1"/>
      <c r="J53" s="1"/>
      <c r="K53" s="1"/>
      <c r="L53" s="1"/>
      <c r="M53" s="433"/>
      <c r="N53" s="433"/>
      <c r="O53" s="433"/>
      <c r="P53" s="433"/>
      <c r="Q53" s="433"/>
      <c r="R53" s="433"/>
      <c r="S53" s="433"/>
      <c r="T53" s="433"/>
      <c r="U53" s="433"/>
      <c r="V53" s="433"/>
      <c r="W53" s="434"/>
      <c r="X53" s="434"/>
      <c r="Y53" s="434"/>
      <c r="Z53" s="434"/>
      <c r="AA53" s="434"/>
      <c r="AB53" s="434"/>
      <c r="AC53" s="434"/>
      <c r="AD53" s="434"/>
      <c r="AE53" s="434"/>
      <c r="AF53" s="434"/>
      <c r="AG53" s="434"/>
      <c r="AH53" s="434"/>
      <c r="AI53" s="434"/>
      <c r="AL53" s="97"/>
      <c r="AM53" s="104"/>
    </row>
    <row r="54" spans="1:39" s="5" customFormat="1" ht="12">
      <c r="A54" s="1"/>
      <c r="B54" s="1"/>
      <c r="C54" s="1"/>
      <c r="D54" s="1"/>
      <c r="E54" s="1"/>
      <c r="F54" s="1"/>
      <c r="G54" s="1"/>
      <c r="H54" s="1"/>
      <c r="I54" s="1"/>
      <c r="J54" s="1"/>
      <c r="K54" s="1"/>
      <c r="L54" s="1"/>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L54" s="97"/>
      <c r="AM54" s="104"/>
    </row>
    <row r="55" spans="38:39" ht="12">
      <c r="AL55" s="98"/>
      <c r="AM55" s="104"/>
    </row>
    <row r="56" spans="1:39" s="4" customFormat="1" ht="12">
      <c r="A56" s="1"/>
      <c r="B56" s="1"/>
      <c r="C56" s="1"/>
      <c r="D56" s="1"/>
      <c r="E56" s="1"/>
      <c r="F56" s="1"/>
      <c r="G56" s="1"/>
      <c r="H56" s="1"/>
      <c r="I56" s="1"/>
      <c r="J56" s="1"/>
      <c r="K56" s="1"/>
      <c r="L56" s="1"/>
      <c r="AL56" s="176"/>
      <c r="AM56" s="104"/>
    </row>
    <row r="57" spans="38:39" ht="12">
      <c r="AL57" s="97"/>
      <c r="AM57" s="104"/>
    </row>
    <row r="58" spans="38:39" ht="12">
      <c r="AL58" s="98"/>
      <c r="AM58" s="104"/>
    </row>
    <row r="59" spans="38:39" ht="12">
      <c r="AL59" s="97"/>
      <c r="AM59" s="104"/>
    </row>
    <row r="60" spans="38:39" ht="12">
      <c r="AL60" s="98"/>
      <c r="AM60" s="104"/>
    </row>
    <row r="61" spans="38:39" ht="12">
      <c r="AL61" s="97"/>
      <c r="AM61" s="104"/>
    </row>
    <row r="62" spans="38:39" ht="12">
      <c r="AL62" s="98"/>
      <c r="AM62" s="98"/>
    </row>
    <row r="63" spans="38:39" ht="12">
      <c r="AL63" s="97"/>
      <c r="AM63" s="104"/>
    </row>
    <row r="64" spans="38:39" ht="12">
      <c r="AL64" s="98"/>
      <c r="AM64" s="104"/>
    </row>
    <row r="65" spans="38:39" ht="12">
      <c r="AL65" s="97"/>
      <c r="AM65" s="104"/>
    </row>
    <row r="66" spans="38:39" ht="12">
      <c r="AL66" s="98"/>
      <c r="AM66" s="104"/>
    </row>
    <row r="67" spans="38:39" ht="12">
      <c r="AL67" s="97"/>
      <c r="AM67" s="104"/>
    </row>
    <row r="68" spans="38:39" ht="12">
      <c r="AL68" s="98"/>
      <c r="AM68" s="104"/>
    </row>
    <row r="69" spans="38:39" ht="12">
      <c r="AL69" s="97"/>
      <c r="AM69" s="104"/>
    </row>
    <row r="70" spans="38:39" ht="12">
      <c r="AL70" s="98"/>
      <c r="AM70" s="104"/>
    </row>
    <row r="71" spans="38:39" ht="12">
      <c r="AL71" s="97"/>
      <c r="AM71" s="104"/>
    </row>
    <row r="72" spans="38:39" ht="12">
      <c r="AL72" s="98"/>
      <c r="AM72" s="104"/>
    </row>
    <row r="73" spans="38:39" ht="12">
      <c r="AL73" s="97"/>
      <c r="AM73" s="104"/>
    </row>
    <row r="74" spans="38:39" ht="12">
      <c r="AL74" s="98"/>
      <c r="AM74" s="104"/>
    </row>
    <row r="75" spans="38:39" ht="12">
      <c r="AL75" s="97"/>
      <c r="AM75" s="104"/>
    </row>
    <row r="76" spans="38:39" ht="12">
      <c r="AL76" s="98"/>
      <c r="AM76" s="104"/>
    </row>
    <row r="77" spans="38:39" ht="12">
      <c r="AL77" s="97"/>
      <c r="AM77" s="104"/>
    </row>
    <row r="78" spans="38:39" ht="12">
      <c r="AL78" s="98"/>
      <c r="AM78" s="104"/>
    </row>
    <row r="79" spans="38:39" ht="12">
      <c r="AL79" s="97"/>
      <c r="AM79" s="143"/>
    </row>
    <row r="80" spans="38:39" ht="12">
      <c r="AL80" s="144"/>
      <c r="AM80" s="143"/>
    </row>
    <row r="81" spans="38:39" ht="12">
      <c r="AL81" s="144"/>
      <c r="AM81" s="144"/>
    </row>
  </sheetData>
  <sheetProtection sheet="1" objects="1" scenarios="1"/>
  <mergeCells count="43">
    <mergeCell ref="H28:J28"/>
    <mergeCell ref="L22:L23"/>
    <mergeCell ref="H24:J25"/>
    <mergeCell ref="K24:K25"/>
    <mergeCell ref="L24:L25"/>
    <mergeCell ref="H22:J23"/>
    <mergeCell ref="H26:J27"/>
    <mergeCell ref="K26:K27"/>
    <mergeCell ref="C26:G27"/>
    <mergeCell ref="L26:L27"/>
    <mergeCell ref="L18:L19"/>
    <mergeCell ref="H20:J21"/>
    <mergeCell ref="K20:K21"/>
    <mergeCell ref="L20:L21"/>
    <mergeCell ref="H18:J19"/>
    <mergeCell ref="K18:K19"/>
    <mergeCell ref="C18:G23"/>
    <mergeCell ref="K22:K23"/>
    <mergeCell ref="M53:AI54"/>
    <mergeCell ref="C34:G38"/>
    <mergeCell ref="H33:L34"/>
    <mergeCell ref="H39:K39"/>
    <mergeCell ref="C30:G33"/>
    <mergeCell ref="I32:K32"/>
    <mergeCell ref="C12:I13"/>
    <mergeCell ref="B3:L4"/>
    <mergeCell ref="E6:F6"/>
    <mergeCell ref="I6:K6"/>
    <mergeCell ref="I7:J7"/>
    <mergeCell ref="H6:H7"/>
    <mergeCell ref="C9:L11"/>
    <mergeCell ref="K12:K13"/>
    <mergeCell ref="L12:L13"/>
    <mergeCell ref="C14:G17"/>
    <mergeCell ref="H15:J15"/>
    <mergeCell ref="H35:H37"/>
    <mergeCell ref="I35:J35"/>
    <mergeCell ref="I36:K36"/>
    <mergeCell ref="I37:K37"/>
    <mergeCell ref="C24:G25"/>
    <mergeCell ref="I30:J30"/>
    <mergeCell ref="H30:H32"/>
    <mergeCell ref="I31:K31"/>
  </mergeCells>
  <printOptions/>
  <pageMargins left="0.3937007874015748" right="0.3937007874015748" top="0.3937007874015748" bottom="0.3937007874015748" header="0.5118110236220472" footer="0.5118110236220472"/>
  <pageSetup fitToHeight="1" fitToWidth="1" orientation="portrait" paperSize="9" scale="90" r:id="rId4"/>
  <drawing r:id="rId3"/>
  <legacyDrawing r:id="rId2"/>
  <oleObjects>
    <oleObject progId="MSPhotoEd.3" shapeId="346523" r:id="rId1"/>
  </oleObjects>
</worksheet>
</file>

<file path=xl/worksheets/sheet7.xml><?xml version="1.0" encoding="utf-8"?>
<worksheet xmlns="http://schemas.openxmlformats.org/spreadsheetml/2006/main" xmlns:r="http://schemas.openxmlformats.org/officeDocument/2006/relationships">
  <sheetPr codeName="Foglio16">
    <pageSetUpPr fitToPage="1"/>
  </sheetPr>
  <dimension ref="B1:V27"/>
  <sheetViews>
    <sheetView showGridLines="0" showRowColHeaders="0" workbookViewId="0" topLeftCell="A1">
      <selection activeCell="A1" sqref="A1"/>
    </sheetView>
  </sheetViews>
  <sheetFormatPr defaultColWidth="9.140625" defaultRowHeight="11.25"/>
  <cols>
    <col min="1" max="1" width="2.57421875" style="1" customWidth="1"/>
    <col min="2" max="2" width="3.421875" style="1" customWidth="1"/>
    <col min="3" max="3" width="13.140625" style="1" customWidth="1"/>
    <col min="4" max="4" width="10.7109375" style="1" customWidth="1"/>
    <col min="5" max="5" width="3.8515625" style="1" customWidth="1"/>
    <col min="6" max="6" width="6.140625" style="1" customWidth="1"/>
    <col min="7" max="9" width="10.7109375" style="1" customWidth="1"/>
    <col min="10" max="13" width="8.7109375" style="1" customWidth="1"/>
    <col min="14" max="16384" width="9.140625" style="1" customWidth="1"/>
  </cols>
  <sheetData>
    <row r="1" spans="7:18" ht="60" customHeight="1">
      <c r="G1" s="2"/>
      <c r="H1" s="2"/>
      <c r="I1" s="2"/>
      <c r="J1" s="2"/>
      <c r="K1" s="2"/>
      <c r="L1" s="2"/>
      <c r="M1" s="2"/>
      <c r="N1" s="2"/>
      <c r="O1" s="2"/>
      <c r="P1" s="2"/>
      <c r="Q1" s="2"/>
      <c r="R1" s="2"/>
    </row>
    <row r="3" spans="2:13" ht="12">
      <c r="B3" s="305" t="s">
        <v>153</v>
      </c>
      <c r="C3" s="306"/>
      <c r="D3" s="306"/>
      <c r="E3" s="306"/>
      <c r="F3" s="306"/>
      <c r="G3" s="306"/>
      <c r="H3" s="306"/>
      <c r="I3" s="306"/>
      <c r="J3" s="306"/>
      <c r="K3" s="306"/>
      <c r="L3" s="306"/>
      <c r="M3" s="306"/>
    </row>
    <row r="4" spans="2:13" ht="12">
      <c r="B4" s="306"/>
      <c r="C4" s="306"/>
      <c r="D4" s="306"/>
      <c r="E4" s="306"/>
      <c r="F4" s="306"/>
      <c r="G4" s="306"/>
      <c r="H4" s="306"/>
      <c r="I4" s="306"/>
      <c r="J4" s="306"/>
      <c r="K4" s="306"/>
      <c r="L4" s="306"/>
      <c r="M4" s="306"/>
    </row>
    <row r="6" spans="2:22" ht="12">
      <c r="B6" s="296" t="s">
        <v>155</v>
      </c>
      <c r="C6" s="297"/>
      <c r="D6" s="297"/>
      <c r="E6" s="297"/>
      <c r="F6" s="297"/>
      <c r="G6" s="297"/>
      <c r="H6" s="297"/>
      <c r="I6" s="297"/>
      <c r="J6" s="297"/>
      <c r="K6" s="297"/>
      <c r="L6" s="297"/>
      <c r="M6" s="297"/>
      <c r="V6" s="21">
        <f>contesto!AB21</f>
        <v>0</v>
      </c>
    </row>
    <row r="7" spans="2:22" ht="12">
      <c r="B7" s="297"/>
      <c r="C7" s="297"/>
      <c r="D7" s="297"/>
      <c r="E7" s="297"/>
      <c r="F7" s="297"/>
      <c r="G7" s="297"/>
      <c r="H7" s="297"/>
      <c r="I7" s="297"/>
      <c r="J7" s="297"/>
      <c r="K7" s="297"/>
      <c r="L7" s="297"/>
      <c r="M7" s="297"/>
      <c r="V7" s="26" t="s">
        <v>83</v>
      </c>
    </row>
    <row r="8" spans="2:22" ht="12">
      <c r="B8" s="297"/>
      <c r="C8" s="297"/>
      <c r="D8" s="297"/>
      <c r="E8" s="297"/>
      <c r="F8" s="297"/>
      <c r="G8" s="297"/>
      <c r="H8" s="297"/>
      <c r="I8" s="297"/>
      <c r="J8" s="297"/>
      <c r="K8" s="297"/>
      <c r="L8" s="297"/>
      <c r="M8" s="297"/>
      <c r="V8" s="28" t="s">
        <v>95</v>
      </c>
    </row>
    <row r="10" spans="2:13" ht="12">
      <c r="B10" s="145"/>
      <c r="C10" s="145" t="s">
        <v>52</v>
      </c>
      <c r="D10" s="455">
        <f>IF(contesto!D9=0,"",contesto!D9)</f>
      </c>
      <c r="E10" s="456"/>
      <c r="F10" s="456"/>
      <c r="G10" s="457"/>
      <c r="H10" s="146"/>
      <c r="I10" s="145" t="s">
        <v>59</v>
      </c>
      <c r="K10" s="455">
        <f>IF(contesto!I9=0,"",contesto!I9)</f>
      </c>
      <c r="L10" s="456"/>
      <c r="M10" s="457"/>
    </row>
    <row r="11" spans="2:10" ht="12">
      <c r="B11" s="145"/>
      <c r="C11" s="145" t="s">
        <v>53</v>
      </c>
      <c r="D11" s="455">
        <f>IF(contesto!D10=0,"",contesto!D10)</f>
      </c>
      <c r="E11" s="456"/>
      <c r="F11" s="456"/>
      <c r="G11" s="457"/>
      <c r="H11" s="146"/>
      <c r="I11" s="145" t="s">
        <v>136</v>
      </c>
      <c r="J11" s="147">
        <f>IF(contesto!H10=0,"",contesto!H10)</f>
      </c>
    </row>
    <row r="12" spans="3:7" ht="12">
      <c r="C12" s="145" t="s">
        <v>156</v>
      </c>
      <c r="D12" s="455">
        <f>IF(V6=0,"",V6)</f>
      </c>
      <c r="E12" s="456"/>
      <c r="F12" s="456"/>
      <c r="G12" s="457"/>
    </row>
    <row r="14" spans="7:12" ht="12">
      <c r="G14" s="453" t="s">
        <v>93</v>
      </c>
      <c r="H14" s="461" t="s">
        <v>157</v>
      </c>
      <c r="I14" s="453" t="s">
        <v>129</v>
      </c>
      <c r="J14" s="469" t="s">
        <v>161</v>
      </c>
      <c r="K14" s="469" t="s">
        <v>162</v>
      </c>
      <c r="L14" s="471" t="s">
        <v>163</v>
      </c>
    </row>
    <row r="15" spans="3:12" ht="12">
      <c r="C15" s="41"/>
      <c r="D15" s="41"/>
      <c r="E15" s="41"/>
      <c r="F15" s="53"/>
      <c r="G15" s="454"/>
      <c r="H15" s="454"/>
      <c r="I15" s="454"/>
      <c r="J15" s="470"/>
      <c r="K15" s="470"/>
      <c r="L15" s="470"/>
    </row>
    <row r="16" spans="3:12" ht="12">
      <c r="C16" s="148" t="s">
        <v>76</v>
      </c>
      <c r="D16" s="149" t="s">
        <v>169</v>
      </c>
      <c r="E16" s="12"/>
      <c r="G16" s="466">
        <f>IF(V6=0,"",contesto!F16)</f>
      </c>
      <c r="H16" s="467"/>
      <c r="I16" s="468"/>
      <c r="J16" s="150"/>
      <c r="K16" s="151"/>
      <c r="L16" s="152"/>
    </row>
    <row r="17" spans="3:13" ht="12.75">
      <c r="C17" s="153"/>
      <c r="D17" s="154" t="s">
        <v>85</v>
      </c>
      <c r="E17" s="141"/>
      <c r="F17" s="155">
        <f>IF(V6=0,"",IF(contesto!K22=0,1,contesto!K22))</f>
      </c>
      <c r="G17" s="156">
        <f>IF(OR(G16="",F17=""),"",G16*F17)</f>
      </c>
      <c r="H17" s="157"/>
      <c r="I17" s="156">
        <f>IF(OR(G16="",F17=""),"",G16*F17)</f>
      </c>
      <c r="J17" s="158"/>
      <c r="K17" s="159"/>
      <c r="L17" s="160"/>
      <c r="M17" s="233" t="s">
        <v>164</v>
      </c>
    </row>
    <row r="18" spans="3:12" ht="12">
      <c r="C18" s="148" t="s">
        <v>79</v>
      </c>
      <c r="D18" s="149" t="s">
        <v>289</v>
      </c>
      <c r="E18" s="12"/>
      <c r="G18" s="458">
        <f>IF(V6=0,"",contesto!J16)</f>
      </c>
      <c r="H18" s="459"/>
      <c r="I18" s="460"/>
      <c r="J18" s="158"/>
      <c r="K18" s="159"/>
      <c r="L18" s="160"/>
    </row>
    <row r="19" spans="3:12" ht="12">
      <c r="C19" s="153"/>
      <c r="D19" s="154" t="s">
        <v>85</v>
      </c>
      <c r="E19" s="141"/>
      <c r="F19" s="155">
        <f>IF(V6=0,"",IF(contesto!K23=0,1,contesto!K23))</f>
      </c>
      <c r="G19" s="162"/>
      <c r="H19" s="163">
        <f>IF(OR(G18="",F19=""),"",G18*F19)</f>
      </c>
      <c r="I19" s="162"/>
      <c r="J19" s="164"/>
      <c r="K19" s="165"/>
      <c r="L19" s="166"/>
    </row>
    <row r="20" spans="3:21" ht="12">
      <c r="C20" s="464" t="s">
        <v>183</v>
      </c>
      <c r="D20" s="167" t="s">
        <v>158</v>
      </c>
      <c r="E20" s="43"/>
      <c r="F20" s="48"/>
      <c r="G20" s="289">
        <f>IF(V6=0,"",IF(OR(bottom_up!L46="n.a.",bottom_up!L46=""),"",bottom_up!L46))</f>
      </c>
      <c r="H20" s="289">
        <f>IF(V6=0,"",IF(OR(benchmark!U40="n.a.",benchmark!U40=""),"",benchmark!U40))</f>
      </c>
      <c r="I20" s="290">
        <f>IF(V6=0,"",IF(OR(top_down!L32="n.a.",top_down!L32=""),"",top_down!L32))</f>
      </c>
      <c r="J20" s="168">
        <f>IF(OR(U20=0,U20=1),"",AVERAGE(G20:I20))</f>
      </c>
      <c r="K20" s="168">
        <f>IF(OR(U20=0,U20=1),"",STDEVP(G20:I20))</f>
      </c>
      <c r="L20" s="169">
        <f>IF(J20="","",K20/J20)</f>
      </c>
      <c r="M20" s="462"/>
      <c r="R20" s="12">
        <f>IF(G20="",0,1)</f>
        <v>0</v>
      </c>
      <c r="S20" s="12">
        <f>IF(H20="",0,1)</f>
        <v>0</v>
      </c>
      <c r="T20" s="12">
        <f>IF(I20="",0,1)</f>
        <v>0</v>
      </c>
      <c r="U20" s="12">
        <f>SUM(R20:T20)</f>
        <v>0</v>
      </c>
    </row>
    <row r="21" spans="3:13" ht="12">
      <c r="C21" s="465"/>
      <c r="D21" s="153" t="s">
        <v>159</v>
      </c>
      <c r="E21" s="41"/>
      <c r="F21" s="53"/>
      <c r="G21" s="289">
        <f>IF(V6=0,"",IF(OR(bottom_up!L67="n.a.",bottom_up!L67=""),"",bottom_up!L67))</f>
      </c>
      <c r="H21" s="291"/>
      <c r="I21" s="289">
        <f>IF(V6=0,"",IF(OR(top_down!L37="n.a.",top_down!L37=""),"",top_down!L37))</f>
      </c>
      <c r="J21" s="168">
        <f>IF(OR(G21="",I21=""),"",AVERAGE(G21:I21))</f>
      </c>
      <c r="K21" s="168">
        <f>IF(OR(G21="",I21=""),"",STDEVP(G21:I21))</f>
      </c>
      <c r="L21" s="169">
        <f>IF(J21="","",K21/J21)</f>
      </c>
      <c r="M21" s="463"/>
    </row>
    <row r="24" ht="12">
      <c r="J24" s="170"/>
    </row>
    <row r="25" spans="7:10" ht="12">
      <c r="G25" s="12"/>
      <c r="H25" s="12"/>
      <c r="I25" s="12"/>
      <c r="J25" s="12"/>
    </row>
    <row r="26" ht="12"/>
    <row r="27" spans="7:10" ht="12">
      <c r="G27" s="12"/>
      <c r="H27" s="12"/>
      <c r="I27" s="12"/>
      <c r="J27" s="12"/>
    </row>
  </sheetData>
  <sheetProtection sheet="1" objects="1" scenarios="1"/>
  <mergeCells count="16">
    <mergeCell ref="M20:M21"/>
    <mergeCell ref="C20:C21"/>
    <mergeCell ref="B3:M4"/>
    <mergeCell ref="D10:G10"/>
    <mergeCell ref="K10:M10"/>
    <mergeCell ref="G16:I16"/>
    <mergeCell ref="J14:J15"/>
    <mergeCell ref="K14:K15"/>
    <mergeCell ref="L14:L15"/>
    <mergeCell ref="B6:M8"/>
    <mergeCell ref="G14:G15"/>
    <mergeCell ref="D11:G11"/>
    <mergeCell ref="I14:I15"/>
    <mergeCell ref="G18:I18"/>
    <mergeCell ref="D12:G12"/>
    <mergeCell ref="H14:H15"/>
  </mergeCells>
  <printOptions/>
  <pageMargins left="0.3937007874015748" right="0.3937007874015748" top="0.3937007874015748" bottom="0.3937007874015748" header="0.5118110236220472" footer="0.5118110236220472"/>
  <pageSetup fitToHeight="1" fitToWidth="1" orientation="portrait" paperSize="9" scale="89" r:id="rId4"/>
  <drawing r:id="rId3"/>
  <legacyDrawing r:id="rId2"/>
  <oleObjects>
    <oleObject progId="MSPhotoEd.3" shapeId="347141" r:id="rId1"/>
  </oleObjects>
</worksheet>
</file>

<file path=xl/worksheets/sheet8.xml><?xml version="1.0" encoding="utf-8"?>
<worksheet xmlns="http://schemas.openxmlformats.org/spreadsheetml/2006/main" xmlns:r="http://schemas.openxmlformats.org/officeDocument/2006/relationships">
  <sheetPr codeName="Foglio1">
    <pageSetUpPr fitToPage="1"/>
  </sheetPr>
  <dimension ref="A1:AC94"/>
  <sheetViews>
    <sheetView workbookViewId="0" topLeftCell="A1">
      <selection activeCell="C4" sqref="C4"/>
    </sheetView>
  </sheetViews>
  <sheetFormatPr defaultColWidth="9.140625" defaultRowHeight="11.25"/>
  <cols>
    <col min="1" max="1" width="4.57421875" style="240" customWidth="1"/>
    <col min="2" max="2" width="14.421875" style="241" customWidth="1"/>
    <col min="3" max="3" width="7.00390625" style="243" customWidth="1"/>
    <col min="4" max="4" width="7.7109375" style="243" customWidth="1"/>
    <col min="5" max="5" width="8.00390625" style="243" customWidth="1"/>
    <col min="6" max="6" width="6.57421875" style="243" customWidth="1"/>
    <col min="7" max="10" width="5.8515625" style="240" customWidth="1"/>
    <col min="11" max="11" width="7.421875" style="240" customWidth="1"/>
    <col min="12" max="21" width="5.8515625" style="240" customWidth="1"/>
    <col min="22" max="22" width="8.7109375" style="240" customWidth="1"/>
    <col min="23" max="23" width="8.140625" style="240" customWidth="1"/>
    <col min="24" max="24" width="5.8515625" style="240" customWidth="1"/>
    <col min="25" max="25" width="7.7109375" style="240" customWidth="1"/>
    <col min="26" max="27" width="5.8515625" style="240" customWidth="1"/>
    <col min="28" max="28" width="8.00390625" style="244" customWidth="1"/>
    <col min="29" max="16384" width="8.00390625" style="240" customWidth="1"/>
  </cols>
  <sheetData>
    <row r="1" ht="12">
      <c r="M1" s="280" t="s">
        <v>283</v>
      </c>
    </row>
    <row r="2" spans="3:27" ht="12">
      <c r="C2" s="243">
        <v>1</v>
      </c>
      <c r="D2" s="243">
        <v>2</v>
      </c>
      <c r="E2" s="243">
        <v>3</v>
      </c>
      <c r="F2" s="243">
        <v>4</v>
      </c>
      <c r="G2" s="243">
        <v>5</v>
      </c>
      <c r="H2" s="243">
        <v>6</v>
      </c>
      <c r="I2" s="243">
        <v>7</v>
      </c>
      <c r="J2" s="243">
        <v>8</v>
      </c>
      <c r="K2" s="243">
        <v>9</v>
      </c>
      <c r="L2" s="243">
        <v>10</v>
      </c>
      <c r="M2" s="243">
        <v>11</v>
      </c>
      <c r="N2" s="243">
        <v>12</v>
      </c>
      <c r="O2" s="243">
        <v>13</v>
      </c>
      <c r="P2" s="243">
        <v>14</v>
      </c>
      <c r="Q2" s="243">
        <v>15</v>
      </c>
      <c r="R2" s="243">
        <v>16</v>
      </c>
      <c r="S2" s="243">
        <v>17</v>
      </c>
      <c r="T2" s="243">
        <v>18</v>
      </c>
      <c r="U2" s="243">
        <v>19</v>
      </c>
      <c r="V2" s="243">
        <v>20</v>
      </c>
      <c r="W2" s="243">
        <v>21</v>
      </c>
      <c r="X2" s="243">
        <v>22</v>
      </c>
      <c r="Y2" s="243">
        <v>23</v>
      </c>
      <c r="Z2" s="243">
        <v>24</v>
      </c>
      <c r="AA2" s="243">
        <v>25</v>
      </c>
    </row>
    <row r="3" spans="2:29" s="245" customFormat="1" ht="179.25">
      <c r="B3" s="246" t="s">
        <v>248</v>
      </c>
      <c r="C3" s="277" t="s">
        <v>249</v>
      </c>
      <c r="D3" s="277" t="s">
        <v>250</v>
      </c>
      <c r="E3" s="278" t="s">
        <v>281</v>
      </c>
      <c r="F3" s="247" t="s">
        <v>251</v>
      </c>
      <c r="G3" s="247" t="s">
        <v>252</v>
      </c>
      <c r="H3" s="247" t="s">
        <v>253</v>
      </c>
      <c r="I3" s="247" t="s">
        <v>254</v>
      </c>
      <c r="J3" s="247" t="s">
        <v>255</v>
      </c>
      <c r="K3" s="247" t="s">
        <v>256</v>
      </c>
      <c r="L3" s="247" t="s">
        <v>257</v>
      </c>
      <c r="M3" s="247" t="s">
        <v>284</v>
      </c>
      <c r="N3" s="247" t="s">
        <v>258</v>
      </c>
      <c r="O3" s="247" t="s">
        <v>259</v>
      </c>
      <c r="P3" s="247" t="s">
        <v>260</v>
      </c>
      <c r="Q3" s="247" t="s">
        <v>261</v>
      </c>
      <c r="R3" s="247" t="s">
        <v>262</v>
      </c>
      <c r="S3" s="247" t="s">
        <v>263</v>
      </c>
      <c r="T3" s="247" t="s">
        <v>264</v>
      </c>
      <c r="U3" s="247" t="s">
        <v>265</v>
      </c>
      <c r="V3" s="247" t="s">
        <v>266</v>
      </c>
      <c r="W3" s="247" t="s">
        <v>267</v>
      </c>
      <c r="X3" s="247" t="s">
        <v>268</v>
      </c>
      <c r="Y3" s="247" t="s">
        <v>269</v>
      </c>
      <c r="Z3" s="247" t="s">
        <v>270</v>
      </c>
      <c r="AA3" s="247" t="s">
        <v>271</v>
      </c>
      <c r="AB3" s="248"/>
      <c r="AC3" s="249"/>
    </row>
    <row r="4" spans="1:27" ht="12">
      <c r="A4" s="240">
        <v>1</v>
      </c>
      <c r="B4" s="241" t="s">
        <v>198</v>
      </c>
      <c r="C4" s="250">
        <v>32.129</v>
      </c>
      <c r="D4" s="251">
        <v>6760.994739954559</v>
      </c>
      <c r="E4" s="252">
        <v>81.463</v>
      </c>
      <c r="F4" s="251">
        <v>2381.74</v>
      </c>
      <c r="G4" s="253">
        <v>1.22</v>
      </c>
      <c r="H4" s="254">
        <v>58.8</v>
      </c>
      <c r="I4" s="253">
        <v>24.36</v>
      </c>
      <c r="J4" s="250">
        <v>9.27</v>
      </c>
      <c r="K4" s="255">
        <v>5132.6</v>
      </c>
      <c r="L4" s="256">
        <v>6.14</v>
      </c>
      <c r="M4" s="257">
        <v>0.5267175572519084</v>
      </c>
      <c r="N4" s="258">
        <v>0</v>
      </c>
      <c r="O4" s="258">
        <v>99.1239454899416</v>
      </c>
      <c r="P4" s="258">
        <v>25.4</v>
      </c>
      <c r="Q4" s="252">
        <v>6.1</v>
      </c>
      <c r="R4" s="240">
        <v>57.4</v>
      </c>
      <c r="S4" s="240">
        <v>32.3</v>
      </c>
      <c r="T4" s="240">
        <v>3.1</v>
      </c>
      <c r="U4" s="252">
        <v>53.173145756170435</v>
      </c>
      <c r="V4" s="251">
        <v>1908</v>
      </c>
      <c r="W4" s="251">
        <v>400</v>
      </c>
      <c r="X4" s="252">
        <v>0.8</v>
      </c>
      <c r="Y4" s="251">
        <v>500</v>
      </c>
      <c r="Z4" s="251">
        <v>1033</v>
      </c>
      <c r="AA4" s="251">
        <v>812</v>
      </c>
    </row>
    <row r="5" spans="1:27" ht="12">
      <c r="A5" s="240">
        <v>2</v>
      </c>
      <c r="B5" s="241" t="s">
        <v>0</v>
      </c>
      <c r="C5" s="250">
        <v>39.145</v>
      </c>
      <c r="D5" s="251">
        <v>12370.213309490355</v>
      </c>
      <c r="E5" s="252">
        <v>151.935</v>
      </c>
      <c r="F5" s="251">
        <v>2780.4</v>
      </c>
      <c r="G5" s="253">
        <v>0.98</v>
      </c>
      <c r="H5" s="254">
        <v>90.1</v>
      </c>
      <c r="I5" s="253">
        <v>29.42</v>
      </c>
      <c r="J5" s="259">
        <v>15.18</v>
      </c>
      <c r="K5" s="260">
        <v>10268.8</v>
      </c>
      <c r="L5" s="261">
        <v>3.6</v>
      </c>
      <c r="M5" s="257">
        <v>0.5723270440251572</v>
      </c>
      <c r="N5" s="258">
        <v>79.78666666666666</v>
      </c>
      <c r="O5" s="258">
        <v>1.9466666666666668</v>
      </c>
      <c r="P5" s="258">
        <v>14.8</v>
      </c>
      <c r="Q5" s="252">
        <v>8.3</v>
      </c>
      <c r="R5" s="240">
        <v>35.9</v>
      </c>
      <c r="S5" s="240">
        <v>53.5</v>
      </c>
      <c r="T5" s="240">
        <v>6.1</v>
      </c>
      <c r="U5" s="252">
        <v>137.60889002426873</v>
      </c>
      <c r="V5" s="251">
        <v>8108</v>
      </c>
      <c r="W5" s="251">
        <v>6974.9</v>
      </c>
      <c r="X5" s="252">
        <v>8.2</v>
      </c>
      <c r="Y5" s="251">
        <v>4100</v>
      </c>
      <c r="Z5" s="251">
        <v>376</v>
      </c>
      <c r="AA5" s="251">
        <v>304</v>
      </c>
    </row>
    <row r="6" spans="1:27" ht="12">
      <c r="A6" s="240">
        <v>3</v>
      </c>
      <c r="B6" s="241" t="s">
        <v>1</v>
      </c>
      <c r="C6" s="250">
        <v>19.913</v>
      </c>
      <c r="D6" s="251">
        <v>30238.638075628987</v>
      </c>
      <c r="E6" s="252">
        <v>617.607</v>
      </c>
      <c r="F6" s="251">
        <v>7741.22</v>
      </c>
      <c r="G6" s="253">
        <v>0.87</v>
      </c>
      <c r="H6" s="254">
        <v>92</v>
      </c>
      <c r="I6" s="253">
        <v>36.56</v>
      </c>
      <c r="J6" s="259">
        <v>4.69</v>
      </c>
      <c r="K6" s="260">
        <v>7304.5</v>
      </c>
      <c r="L6" s="261">
        <v>2.71</v>
      </c>
      <c r="M6" s="257">
        <v>0.48958333333333337</v>
      </c>
      <c r="N6" s="258">
        <v>27.014462809917354</v>
      </c>
      <c r="O6" s="258">
        <v>0</v>
      </c>
      <c r="P6" s="258">
        <v>5.1</v>
      </c>
      <c r="Q6" s="252">
        <v>3.5</v>
      </c>
      <c r="R6" s="240">
        <v>28.2</v>
      </c>
      <c r="S6" s="240">
        <v>68.4</v>
      </c>
      <c r="T6" s="240">
        <v>2.3</v>
      </c>
      <c r="U6" s="252">
        <v>509.06443027168183</v>
      </c>
      <c r="V6" s="251">
        <v>10590</v>
      </c>
      <c r="W6" s="251">
        <v>12579</v>
      </c>
      <c r="X6" s="252">
        <v>56.5</v>
      </c>
      <c r="Y6" s="251">
        <v>9472</v>
      </c>
      <c r="Z6" s="251">
        <v>404</v>
      </c>
      <c r="AA6" s="251">
        <v>244</v>
      </c>
    </row>
    <row r="7" spans="1:27" ht="12">
      <c r="A7" s="240">
        <v>4</v>
      </c>
      <c r="B7" s="241" t="s">
        <v>2</v>
      </c>
      <c r="C7" s="250">
        <v>8.175</v>
      </c>
      <c r="D7" s="251">
        <v>31081.95718654434</v>
      </c>
      <c r="E7" s="252">
        <v>289.717</v>
      </c>
      <c r="F7" s="251">
        <v>83.86</v>
      </c>
      <c r="G7" s="253">
        <v>0.11</v>
      </c>
      <c r="H7" s="254">
        <v>65.8</v>
      </c>
      <c r="I7" s="253">
        <v>40.44</v>
      </c>
      <c r="J7" s="259">
        <v>4.66</v>
      </c>
      <c r="K7" s="255">
        <v>3407</v>
      </c>
      <c r="L7" s="256">
        <v>2.37</v>
      </c>
      <c r="M7" s="257">
        <v>0.46842878120411163</v>
      </c>
      <c r="N7" s="258">
        <v>75.09293680297398</v>
      </c>
      <c r="O7" s="258">
        <v>2.1</v>
      </c>
      <c r="P7" s="258">
        <v>4.4</v>
      </c>
      <c r="Q7" s="252">
        <v>1.9</v>
      </c>
      <c r="R7" s="240">
        <v>30.8</v>
      </c>
      <c r="S7" s="240">
        <v>66.9</v>
      </c>
      <c r="T7" s="240">
        <v>1.8</v>
      </c>
      <c r="U7" s="252">
        <v>511.56293577981654</v>
      </c>
      <c r="V7" s="251">
        <v>3996.6</v>
      </c>
      <c r="W7" s="251">
        <v>6736</v>
      </c>
      <c r="X7" s="252">
        <v>36.9</v>
      </c>
      <c r="Y7" s="251">
        <v>3340</v>
      </c>
      <c r="Z7" s="251">
        <v>227</v>
      </c>
      <c r="AA7" s="251">
        <v>121</v>
      </c>
    </row>
    <row r="8" spans="1:27" ht="12">
      <c r="A8" s="240">
        <v>5</v>
      </c>
      <c r="B8" s="241" t="s">
        <v>199</v>
      </c>
      <c r="C8" s="250">
        <v>0.678</v>
      </c>
      <c r="D8" s="251">
        <v>21553.09734513274</v>
      </c>
      <c r="E8" s="252">
        <v>10.754</v>
      </c>
      <c r="F8" s="251">
        <v>0.71</v>
      </c>
      <c r="G8" s="253">
        <v>1.51</v>
      </c>
      <c r="H8" s="254">
        <v>90</v>
      </c>
      <c r="I8" s="253">
        <v>29.19</v>
      </c>
      <c r="J8" s="259">
        <v>17.27</v>
      </c>
      <c r="K8" s="260">
        <v>180.4</v>
      </c>
      <c r="L8" s="261">
        <v>3.97</v>
      </c>
      <c r="M8" s="257">
        <v>0.4634502923976608</v>
      </c>
      <c r="N8" s="258">
        <v>0</v>
      </c>
      <c r="O8" s="258">
        <v>60</v>
      </c>
      <c r="P8" s="258">
        <v>15</v>
      </c>
      <c r="Q8" s="252">
        <v>5.6</v>
      </c>
      <c r="R8" s="240">
        <v>41</v>
      </c>
      <c r="S8" s="240">
        <v>58.4</v>
      </c>
      <c r="T8" s="240">
        <v>2.1</v>
      </c>
      <c r="U8" s="252">
        <v>304.6371681415929</v>
      </c>
      <c r="V8" s="251">
        <v>175.4</v>
      </c>
      <c r="W8" s="251">
        <v>389</v>
      </c>
      <c r="X8" s="252">
        <v>16</v>
      </c>
      <c r="Y8" s="251">
        <v>165</v>
      </c>
      <c r="Z8" s="251">
        <v>591</v>
      </c>
      <c r="AA8" s="251">
        <v>354</v>
      </c>
    </row>
    <row r="9" spans="1:27" ht="12">
      <c r="A9" s="240">
        <v>6</v>
      </c>
      <c r="B9" s="241" t="s">
        <v>200</v>
      </c>
      <c r="C9" s="250">
        <v>10.311</v>
      </c>
      <c r="D9" s="251">
        <v>6316.846086703521</v>
      </c>
      <c r="E9" s="252">
        <v>22.754</v>
      </c>
      <c r="F9" s="251">
        <v>207.6</v>
      </c>
      <c r="G9" s="253">
        <v>-0.09</v>
      </c>
      <c r="H9" s="254">
        <v>70.9</v>
      </c>
      <c r="I9" s="253">
        <v>37.03</v>
      </c>
      <c r="J9" s="259">
        <v>13.37</v>
      </c>
      <c r="K9" s="255">
        <v>3940.1</v>
      </c>
      <c r="L9" s="256">
        <v>2.51</v>
      </c>
      <c r="M9" s="257">
        <v>0.44508670520231214</v>
      </c>
      <c r="N9" s="258">
        <v>17.74661992989484</v>
      </c>
      <c r="O9" s="258">
        <v>0</v>
      </c>
      <c r="P9" s="258">
        <v>2</v>
      </c>
      <c r="Q9" s="252">
        <v>6.4</v>
      </c>
      <c r="R9" s="240">
        <v>36.4</v>
      </c>
      <c r="S9" s="240">
        <v>52.6</v>
      </c>
      <c r="T9" s="240">
        <v>17.4</v>
      </c>
      <c r="U9" s="252">
        <v>150.17670449035012</v>
      </c>
      <c r="V9" s="251">
        <v>2967.2</v>
      </c>
      <c r="W9" s="251">
        <v>462.6</v>
      </c>
      <c r="X9" s="262">
        <v>10</v>
      </c>
      <c r="Y9" s="251">
        <v>809</v>
      </c>
      <c r="Z9" s="251">
        <v>221</v>
      </c>
      <c r="AA9" s="251">
        <v>79</v>
      </c>
    </row>
    <row r="10" spans="1:27" ht="12">
      <c r="A10" s="240">
        <v>7</v>
      </c>
      <c r="B10" s="241" t="s">
        <v>3</v>
      </c>
      <c r="C10" s="250">
        <v>10.348</v>
      </c>
      <c r="D10" s="251">
        <v>29861.90568225744</v>
      </c>
      <c r="E10" s="252">
        <v>352</v>
      </c>
      <c r="F10" s="251">
        <v>33.12</v>
      </c>
      <c r="G10" s="253">
        <v>0.15</v>
      </c>
      <c r="H10" s="254">
        <v>97.2</v>
      </c>
      <c r="I10" s="253">
        <v>40.55</v>
      </c>
      <c r="J10" s="259">
        <v>4.68</v>
      </c>
      <c r="K10" s="255">
        <v>4361.9</v>
      </c>
      <c r="L10" s="256">
        <v>2.37</v>
      </c>
      <c r="M10" s="257">
        <v>0.5243902439024392</v>
      </c>
      <c r="N10" s="258">
        <v>80.91528724440117</v>
      </c>
      <c r="O10" s="258">
        <v>2.4342745861733204</v>
      </c>
      <c r="P10" s="258">
        <v>12</v>
      </c>
      <c r="Q10" s="252">
        <v>2.6</v>
      </c>
      <c r="R10" s="240">
        <v>25.7</v>
      </c>
      <c r="S10" s="240">
        <v>73</v>
      </c>
      <c r="T10" s="240">
        <v>1.9</v>
      </c>
      <c r="U10" s="252">
        <v>462.63616157711635</v>
      </c>
      <c r="V10" s="251">
        <v>5295.4</v>
      </c>
      <c r="W10" s="251">
        <v>8135.5</v>
      </c>
      <c r="X10" s="252">
        <v>34.5</v>
      </c>
      <c r="Y10" s="251">
        <v>3400</v>
      </c>
      <c r="Z10" s="251">
        <v>279</v>
      </c>
      <c r="AA10" s="251">
        <v>135</v>
      </c>
    </row>
    <row r="11" spans="1:27" ht="12">
      <c r="A11" s="240">
        <v>8</v>
      </c>
      <c r="B11" s="241" t="s">
        <v>4</v>
      </c>
      <c r="C11" s="250">
        <v>184.101</v>
      </c>
      <c r="D11" s="251">
        <v>7938.924829305653</v>
      </c>
      <c r="E11" s="252">
        <v>599.732</v>
      </c>
      <c r="F11" s="251">
        <v>8547.4</v>
      </c>
      <c r="G11" s="253">
        <v>1.06</v>
      </c>
      <c r="H11" s="254">
        <v>83.1</v>
      </c>
      <c r="I11" s="253">
        <v>27.81</v>
      </c>
      <c r="J11" s="259">
        <v>29.61</v>
      </c>
      <c r="K11" s="260">
        <v>50558</v>
      </c>
      <c r="L11" s="261">
        <v>3.5</v>
      </c>
      <c r="M11" s="257">
        <v>0.47928994082840237</v>
      </c>
      <c r="N11" s="258">
        <v>72.31582616778991</v>
      </c>
      <c r="O11" s="258">
        <v>0</v>
      </c>
      <c r="P11" s="258">
        <v>11.5</v>
      </c>
      <c r="Q11" s="252">
        <v>5.1</v>
      </c>
      <c r="R11" s="240">
        <v>38.6</v>
      </c>
      <c r="S11" s="240">
        <v>51.3</v>
      </c>
      <c r="T11" s="240">
        <v>7.6</v>
      </c>
      <c r="U11" s="252">
        <v>126.24573467824726</v>
      </c>
      <c r="V11" s="251">
        <v>38810</v>
      </c>
      <c r="W11" s="251">
        <v>34881</v>
      </c>
      <c r="X11" s="252">
        <v>7.5</v>
      </c>
      <c r="Y11" s="251">
        <v>14300</v>
      </c>
      <c r="Z11" s="251">
        <v>395</v>
      </c>
      <c r="AA11" s="251">
        <v>343</v>
      </c>
    </row>
    <row r="12" spans="1:27" ht="12">
      <c r="A12" s="240">
        <v>9</v>
      </c>
      <c r="B12" s="241" t="s">
        <v>201</v>
      </c>
      <c r="C12" s="250">
        <v>7.518</v>
      </c>
      <c r="D12" s="251">
        <v>8793.961159882947</v>
      </c>
      <c r="E12" s="252">
        <v>23.91</v>
      </c>
      <c r="F12" s="251">
        <v>110.91</v>
      </c>
      <c r="G12" s="253">
        <v>-0.89</v>
      </c>
      <c r="H12" s="254">
        <v>69.8</v>
      </c>
      <c r="I12" s="253">
        <v>40.66</v>
      </c>
      <c r="J12" s="259">
        <v>20.55</v>
      </c>
      <c r="K12" s="255">
        <v>2915.1</v>
      </c>
      <c r="L12" s="256">
        <v>2.69</v>
      </c>
      <c r="M12" s="257">
        <v>0.45985401459854014</v>
      </c>
      <c r="N12" s="258">
        <v>0.8805031446540881</v>
      </c>
      <c r="O12" s="258">
        <v>11.823899371069183</v>
      </c>
      <c r="P12" s="258">
        <v>12.7</v>
      </c>
      <c r="Q12" s="252">
        <v>5.3</v>
      </c>
      <c r="R12" s="240">
        <v>30.1</v>
      </c>
      <c r="S12" s="240">
        <v>58.4</v>
      </c>
      <c r="T12" s="240">
        <v>6.1</v>
      </c>
      <c r="U12" s="252">
        <v>299.8433093907954</v>
      </c>
      <c r="V12" s="251">
        <v>2922</v>
      </c>
      <c r="W12" s="251">
        <v>2500</v>
      </c>
      <c r="X12" s="252">
        <v>5.2</v>
      </c>
      <c r="Y12" s="251">
        <v>630</v>
      </c>
      <c r="Z12" s="251">
        <v>290</v>
      </c>
      <c r="AA12" s="251">
        <v>138</v>
      </c>
    </row>
    <row r="13" spans="1:27" ht="12">
      <c r="A13" s="240">
        <v>10</v>
      </c>
      <c r="B13" s="241" t="s">
        <v>5</v>
      </c>
      <c r="C13" s="250">
        <v>32.508</v>
      </c>
      <c r="D13" s="251">
        <v>32313.98425003076</v>
      </c>
      <c r="E13" s="252">
        <v>995.833</v>
      </c>
      <c r="F13" s="251">
        <v>9970.61</v>
      </c>
      <c r="G13" s="253">
        <v>0.9</v>
      </c>
      <c r="H13" s="254">
        <v>80.4</v>
      </c>
      <c r="I13" s="253">
        <v>38.54</v>
      </c>
      <c r="J13" s="259">
        <v>4.75</v>
      </c>
      <c r="K13" s="260">
        <v>11824.7</v>
      </c>
      <c r="L13" s="261">
        <v>2.67</v>
      </c>
      <c r="M13" s="257">
        <v>0.4541484716157205</v>
      </c>
      <c r="N13" s="258">
        <v>45.17897452434699</v>
      </c>
      <c r="O13" s="258">
        <v>0.9</v>
      </c>
      <c r="P13" s="258">
        <v>7</v>
      </c>
      <c r="Q13" s="252">
        <v>2.4</v>
      </c>
      <c r="R13" s="240">
        <v>26.4</v>
      </c>
      <c r="S13" s="240">
        <v>71.3</v>
      </c>
      <c r="T13" s="240">
        <v>1.9</v>
      </c>
      <c r="U13" s="252">
        <v>539.6720499569337</v>
      </c>
      <c r="V13" s="251">
        <v>20802.9</v>
      </c>
      <c r="W13" s="251">
        <v>11849</v>
      </c>
      <c r="X13" s="252">
        <v>48.7</v>
      </c>
      <c r="Y13" s="251">
        <v>16110</v>
      </c>
      <c r="Z13" s="251">
        <v>508</v>
      </c>
      <c r="AA13" s="251">
        <v>185</v>
      </c>
    </row>
    <row r="14" spans="1:27" ht="12">
      <c r="A14" s="240">
        <v>11</v>
      </c>
      <c r="B14" s="241" t="s">
        <v>202</v>
      </c>
      <c r="C14" s="250">
        <v>15.824</v>
      </c>
      <c r="D14" s="251">
        <v>10984.07482305359</v>
      </c>
      <c r="E14" s="252">
        <v>93.651</v>
      </c>
      <c r="F14" s="251">
        <v>756.63</v>
      </c>
      <c r="G14" s="253">
        <v>0.97</v>
      </c>
      <c r="H14" s="254">
        <v>87</v>
      </c>
      <c r="I14" s="253">
        <v>30.07</v>
      </c>
      <c r="J14" s="259">
        <v>8.8</v>
      </c>
      <c r="K14" s="260">
        <v>4229.1</v>
      </c>
      <c r="L14" s="261">
        <v>3.73</v>
      </c>
      <c r="M14" s="257">
        <v>0.5067873303167422</v>
      </c>
      <c r="N14" s="258">
        <v>76.63854639844257</v>
      </c>
      <c r="O14" s="258">
        <v>0</v>
      </c>
      <c r="P14" s="258">
        <v>8.5</v>
      </c>
      <c r="Q14" s="252">
        <v>5.8</v>
      </c>
      <c r="R14" s="240">
        <v>38.2</v>
      </c>
      <c r="S14" s="240">
        <v>55.5</v>
      </c>
      <c r="T14" s="240">
        <v>2.4</v>
      </c>
      <c r="U14" s="252">
        <v>86.77458291203236</v>
      </c>
      <c r="V14" s="251">
        <v>3703.3</v>
      </c>
      <c r="W14" s="251">
        <v>6445.7</v>
      </c>
      <c r="X14" s="252">
        <v>11.9</v>
      </c>
      <c r="Y14" s="251">
        <v>3575</v>
      </c>
      <c r="Z14" s="251">
        <v>834</v>
      </c>
      <c r="AA14" s="251">
        <v>346</v>
      </c>
    </row>
    <row r="15" spans="1:27" ht="12">
      <c r="A15" s="240">
        <v>12</v>
      </c>
      <c r="B15" s="241" t="s">
        <v>6</v>
      </c>
      <c r="C15" s="250">
        <v>1298.848</v>
      </c>
      <c r="D15" s="251">
        <v>5646.73772450664</v>
      </c>
      <c r="E15" s="252">
        <v>1649.387</v>
      </c>
      <c r="F15" s="251">
        <v>9598.05</v>
      </c>
      <c r="G15" s="253">
        <v>0.58</v>
      </c>
      <c r="H15" s="254">
        <v>38.6</v>
      </c>
      <c r="I15" s="253">
        <v>32.26</v>
      </c>
      <c r="J15" s="259">
        <v>24.18</v>
      </c>
      <c r="K15" s="255">
        <v>371632.1</v>
      </c>
      <c r="L15" s="256">
        <v>3.49</v>
      </c>
      <c r="M15" s="257">
        <v>0.4238975817923187</v>
      </c>
      <c r="N15" s="258">
        <v>0</v>
      </c>
      <c r="O15" s="258">
        <v>1.4400790631642522</v>
      </c>
      <c r="P15" s="258">
        <v>9.8</v>
      </c>
      <c r="Q15" s="252">
        <v>9.1</v>
      </c>
      <c r="R15" s="240">
        <v>52.9</v>
      </c>
      <c r="S15" s="240">
        <v>33.3</v>
      </c>
      <c r="T15" s="240">
        <v>4.1</v>
      </c>
      <c r="U15" s="252">
        <v>6.573003923476804</v>
      </c>
      <c r="V15" s="251">
        <v>214420</v>
      </c>
      <c r="W15" s="251">
        <v>206620</v>
      </c>
      <c r="X15" s="252">
        <v>2.8</v>
      </c>
      <c r="Y15" s="251">
        <v>59100</v>
      </c>
      <c r="Z15" s="251">
        <v>592</v>
      </c>
      <c r="AA15" s="251">
        <v>418</v>
      </c>
    </row>
    <row r="16" spans="1:27" ht="12">
      <c r="A16" s="240">
        <v>13</v>
      </c>
      <c r="B16" s="241" t="s">
        <v>203</v>
      </c>
      <c r="C16" s="250">
        <v>42.311</v>
      </c>
      <c r="D16" s="251">
        <v>7457.82420647113</v>
      </c>
      <c r="E16" s="252">
        <v>95.188</v>
      </c>
      <c r="F16" s="251">
        <v>1138.91</v>
      </c>
      <c r="G16" s="253">
        <v>1.49</v>
      </c>
      <c r="H16" s="254">
        <v>76.5</v>
      </c>
      <c r="I16" s="253">
        <v>26.04</v>
      </c>
      <c r="J16" s="259">
        <v>20.97</v>
      </c>
      <c r="K16" s="260">
        <v>11194.1</v>
      </c>
      <c r="L16" s="261">
        <v>3.92</v>
      </c>
      <c r="M16" s="257">
        <v>0.5633802816901409</v>
      </c>
      <c r="N16" s="258">
        <v>91.92013002089622</v>
      </c>
      <c r="O16" s="258">
        <v>0</v>
      </c>
      <c r="P16" s="258">
        <v>13.6</v>
      </c>
      <c r="Q16" s="252">
        <v>3.6</v>
      </c>
      <c r="R16" s="240">
        <v>32.1</v>
      </c>
      <c r="S16" s="240">
        <v>54.5</v>
      </c>
      <c r="T16" s="240">
        <v>5.9</v>
      </c>
      <c r="U16" s="252">
        <v>42.61778260972324</v>
      </c>
      <c r="V16" s="251">
        <v>7766</v>
      </c>
      <c r="W16" s="251">
        <v>4596.6</v>
      </c>
      <c r="X16" s="252">
        <v>4.9</v>
      </c>
      <c r="Y16" s="251">
        <v>2000</v>
      </c>
      <c r="Z16" s="251">
        <v>1102</v>
      </c>
      <c r="AA16" s="251">
        <v>1000</v>
      </c>
    </row>
    <row r="17" spans="1:27" ht="12">
      <c r="A17" s="240">
        <v>14</v>
      </c>
      <c r="B17" s="241" t="s">
        <v>7</v>
      </c>
      <c r="C17" s="250">
        <v>4.497</v>
      </c>
      <c r="D17" s="251">
        <v>11575.717144763175</v>
      </c>
      <c r="E17" s="252">
        <v>33.203</v>
      </c>
      <c r="F17" s="251">
        <v>56.54</v>
      </c>
      <c r="G17" s="253">
        <v>-0.02</v>
      </c>
      <c r="H17" s="254">
        <v>59</v>
      </c>
      <c r="I17" s="253">
        <v>39.97</v>
      </c>
      <c r="J17" s="250">
        <v>6.84</v>
      </c>
      <c r="K17" s="260">
        <v>1465.9</v>
      </c>
      <c r="L17" s="261">
        <v>3.03</v>
      </c>
      <c r="M17" s="257">
        <v>0.4925373134328358</v>
      </c>
      <c r="N17" s="258">
        <v>88.4090909090909</v>
      </c>
      <c r="O17" s="258">
        <v>2.272727272727273</v>
      </c>
      <c r="P17" s="258">
        <v>13.8</v>
      </c>
      <c r="Q17" s="252">
        <v>3.7</v>
      </c>
      <c r="R17" s="240">
        <v>30.1</v>
      </c>
      <c r="S17" s="240">
        <v>61.7</v>
      </c>
      <c r="T17" s="240">
        <v>2.5</v>
      </c>
      <c r="U17" s="252">
        <v>276.6849010451412</v>
      </c>
      <c r="V17" s="251">
        <v>1780.2</v>
      </c>
      <c r="W17" s="251">
        <v>2339.6</v>
      </c>
      <c r="X17" s="252">
        <v>17.4</v>
      </c>
      <c r="Y17" s="251">
        <v>789</v>
      </c>
      <c r="Z17" s="251">
        <v>529</v>
      </c>
      <c r="AA17" s="251">
        <v>158</v>
      </c>
    </row>
    <row r="18" spans="1:27" ht="12">
      <c r="A18" s="240">
        <v>15</v>
      </c>
      <c r="B18" s="241" t="s">
        <v>204</v>
      </c>
      <c r="C18" s="250">
        <v>0.776</v>
      </c>
      <c r="D18" s="251">
        <v>20314.432989690722</v>
      </c>
      <c r="E18" s="252">
        <v>15.419</v>
      </c>
      <c r="F18" s="251">
        <v>9.25</v>
      </c>
      <c r="G18" s="253">
        <v>0.54</v>
      </c>
      <c r="H18" s="254">
        <v>69.2</v>
      </c>
      <c r="I18" s="253">
        <v>34.68</v>
      </c>
      <c r="J18" s="250">
        <v>7.18</v>
      </c>
      <c r="K18" s="255">
        <v>265.9</v>
      </c>
      <c r="L18" s="256">
        <v>3</v>
      </c>
      <c r="M18" s="257">
        <v>0.4836795252225518</v>
      </c>
      <c r="N18" s="258">
        <v>0</v>
      </c>
      <c r="O18" s="258">
        <v>22.988505747126435</v>
      </c>
      <c r="P18" s="258">
        <v>4</v>
      </c>
      <c r="Q18" s="252">
        <v>3</v>
      </c>
      <c r="R18" s="240">
        <v>19.9</v>
      </c>
      <c r="S18" s="240">
        <v>76</v>
      </c>
      <c r="T18" s="240">
        <v>3</v>
      </c>
      <c r="U18" s="252">
        <v>370.64690721649487</v>
      </c>
      <c r="V18" s="251">
        <v>440.1</v>
      </c>
      <c r="W18" s="251">
        <v>418.1</v>
      </c>
      <c r="X18" s="252">
        <v>27</v>
      </c>
      <c r="Y18" s="251">
        <v>210</v>
      </c>
      <c r="Z18" s="251">
        <v>372</v>
      </c>
      <c r="AA18" s="251">
        <v>216</v>
      </c>
    </row>
    <row r="19" spans="1:27" ht="12">
      <c r="A19" s="240">
        <v>16</v>
      </c>
      <c r="B19" s="241" t="s">
        <v>8</v>
      </c>
      <c r="C19" s="250">
        <v>10.246</v>
      </c>
      <c r="D19" s="251">
        <v>18299.62912356041</v>
      </c>
      <c r="E19" s="252">
        <v>107.047</v>
      </c>
      <c r="F19" s="251">
        <v>78.87</v>
      </c>
      <c r="G19" s="253">
        <v>-0.05</v>
      </c>
      <c r="H19" s="254">
        <v>74.3</v>
      </c>
      <c r="I19" s="253">
        <v>38.97</v>
      </c>
      <c r="J19" s="259">
        <v>3.93</v>
      </c>
      <c r="K19" s="255">
        <v>3804.3</v>
      </c>
      <c r="L19" s="256">
        <v>2.68</v>
      </c>
      <c r="M19" s="257">
        <v>0.4104372355430183</v>
      </c>
      <c r="N19" s="258">
        <v>39.04576436222006</v>
      </c>
      <c r="O19" s="258">
        <v>0</v>
      </c>
      <c r="P19" s="258">
        <v>10.6</v>
      </c>
      <c r="Q19" s="252">
        <v>3.7</v>
      </c>
      <c r="R19" s="240">
        <v>39.3</v>
      </c>
      <c r="S19" s="240">
        <v>57.3</v>
      </c>
      <c r="T19" s="240">
        <v>3.2</v>
      </c>
      <c r="U19" s="252">
        <v>355.95032207690804</v>
      </c>
      <c r="V19" s="251">
        <v>3871.5</v>
      </c>
      <c r="W19" s="251">
        <v>8610.2</v>
      </c>
      <c r="X19" s="252">
        <v>17.7</v>
      </c>
      <c r="Y19" s="251">
        <v>2600</v>
      </c>
      <c r="Z19" s="251">
        <v>248</v>
      </c>
      <c r="AA19" s="251">
        <v>86</v>
      </c>
    </row>
    <row r="20" spans="1:27" ht="12">
      <c r="A20" s="240">
        <v>17</v>
      </c>
      <c r="B20" s="241" t="s">
        <v>205</v>
      </c>
      <c r="C20" s="250">
        <v>5.413</v>
      </c>
      <c r="D20" s="251">
        <v>32971.919453168295</v>
      </c>
      <c r="E20" s="252">
        <v>242.344</v>
      </c>
      <c r="F20" s="251">
        <v>43.09</v>
      </c>
      <c r="G20" s="253">
        <v>0.34</v>
      </c>
      <c r="H20" s="254">
        <v>85.3</v>
      </c>
      <c r="I20" s="253">
        <v>39.47</v>
      </c>
      <c r="J20" s="259">
        <v>4.56</v>
      </c>
      <c r="K20" s="255">
        <v>2466.7</v>
      </c>
      <c r="L20" s="256">
        <v>2.18</v>
      </c>
      <c r="M20" s="257">
        <v>0.5120845921450151</v>
      </c>
      <c r="N20" s="258">
        <v>0.5970149253731344</v>
      </c>
      <c r="O20" s="258">
        <v>2.2388059701492535</v>
      </c>
      <c r="P20" s="258">
        <v>6.2</v>
      </c>
      <c r="Q20" s="252">
        <v>2.1</v>
      </c>
      <c r="R20" s="240">
        <v>25.5</v>
      </c>
      <c r="S20" s="240">
        <v>72.3</v>
      </c>
      <c r="T20" s="240">
        <v>1.4</v>
      </c>
      <c r="U20" s="252">
        <v>357.146499168668</v>
      </c>
      <c r="V20" s="251">
        <v>3864.8</v>
      </c>
      <c r="W20" s="251">
        <v>4477.8</v>
      </c>
      <c r="X20" s="252">
        <v>57.7</v>
      </c>
      <c r="Y20" s="251">
        <v>2756</v>
      </c>
      <c r="Z20" s="251">
        <v>345</v>
      </c>
      <c r="AA20" s="251">
        <v>233</v>
      </c>
    </row>
    <row r="21" spans="1:27" ht="12">
      <c r="A21" s="240">
        <v>18</v>
      </c>
      <c r="B21" s="241" t="s">
        <v>206</v>
      </c>
      <c r="C21" s="250">
        <v>13.213</v>
      </c>
      <c r="D21" s="251">
        <v>4025.9592825247864</v>
      </c>
      <c r="E21" s="252">
        <v>29.881</v>
      </c>
      <c r="F21" s="251">
        <v>283.56</v>
      </c>
      <c r="G21" s="253">
        <v>1.24</v>
      </c>
      <c r="H21" s="254">
        <v>61.8</v>
      </c>
      <c r="I21" s="253">
        <v>23.27</v>
      </c>
      <c r="J21" s="259">
        <v>23.66</v>
      </c>
      <c r="K21" s="260">
        <v>2594.2</v>
      </c>
      <c r="L21" s="261">
        <v>4.97</v>
      </c>
      <c r="M21" s="257">
        <v>0.6339869281045751</v>
      </c>
      <c r="N21" s="258">
        <v>92.46894409937887</v>
      </c>
      <c r="O21" s="258">
        <v>0</v>
      </c>
      <c r="P21" s="258">
        <v>11.1</v>
      </c>
      <c r="Q21" s="252">
        <v>5.8</v>
      </c>
      <c r="R21" s="240">
        <v>30.5</v>
      </c>
      <c r="S21" s="240">
        <v>60.9</v>
      </c>
      <c r="T21" s="240">
        <v>2</v>
      </c>
      <c r="U21" s="252">
        <v>41.65957768863998</v>
      </c>
      <c r="V21" s="251">
        <v>1426.2</v>
      </c>
      <c r="W21" s="251">
        <v>1560.9</v>
      </c>
      <c r="X21" s="252">
        <v>3.1</v>
      </c>
      <c r="Y21" s="251">
        <v>538</v>
      </c>
      <c r="Z21" s="251">
        <v>456</v>
      </c>
      <c r="AA21" s="251">
        <v>427</v>
      </c>
    </row>
    <row r="22" spans="1:27" ht="12">
      <c r="A22" s="240">
        <v>19</v>
      </c>
      <c r="B22" s="241" t="s">
        <v>207</v>
      </c>
      <c r="C22" s="250">
        <v>76.117</v>
      </c>
      <c r="D22" s="251">
        <v>3709.1976825150755</v>
      </c>
      <c r="E22" s="252">
        <v>77.032</v>
      </c>
      <c r="F22" s="251">
        <v>1001.45</v>
      </c>
      <c r="G22" s="253">
        <v>1.78</v>
      </c>
      <c r="H22" s="254">
        <v>42.1</v>
      </c>
      <c r="I22" s="253">
        <v>23.68</v>
      </c>
      <c r="J22" s="250">
        <v>32.59</v>
      </c>
      <c r="K22" s="255">
        <v>15127</v>
      </c>
      <c r="L22" s="256">
        <v>4.41</v>
      </c>
      <c r="M22" s="257">
        <v>0.6061093247588424</v>
      </c>
      <c r="N22" s="258">
        <v>0</v>
      </c>
      <c r="O22" s="258">
        <v>88.99448191293685</v>
      </c>
      <c r="P22" s="258">
        <v>10.9</v>
      </c>
      <c r="Q22" s="252">
        <v>4.5</v>
      </c>
      <c r="R22" s="240">
        <v>33</v>
      </c>
      <c r="S22" s="240">
        <v>49.8</v>
      </c>
      <c r="T22" s="240">
        <v>9.5</v>
      </c>
      <c r="U22" s="252">
        <v>24.265275825374093</v>
      </c>
      <c r="V22" s="251">
        <v>7430</v>
      </c>
      <c r="W22" s="251">
        <v>4494.7</v>
      </c>
      <c r="X22" s="252">
        <v>2.2</v>
      </c>
      <c r="Y22" s="251">
        <v>1900</v>
      </c>
      <c r="Z22" s="251">
        <v>490</v>
      </c>
      <c r="AA22" s="251">
        <v>515</v>
      </c>
    </row>
    <row r="23" spans="1:27" ht="12">
      <c r="A23" s="240">
        <v>20</v>
      </c>
      <c r="B23" s="241" t="s">
        <v>208</v>
      </c>
      <c r="C23" s="250">
        <v>1.342</v>
      </c>
      <c r="D23" s="251">
        <v>15319.67213114754</v>
      </c>
      <c r="E23" s="252">
        <v>11.196</v>
      </c>
      <c r="F23" s="251">
        <v>45.1</v>
      </c>
      <c r="G23" s="253">
        <v>-0.65</v>
      </c>
      <c r="H23" s="254">
        <v>69.4</v>
      </c>
      <c r="I23" s="253">
        <v>39.06</v>
      </c>
      <c r="J23" s="259">
        <v>7.87</v>
      </c>
      <c r="K23" s="255">
        <v>576.5</v>
      </c>
      <c r="L23" s="256">
        <v>2.35</v>
      </c>
      <c r="M23" s="257">
        <v>0.48148148148148145</v>
      </c>
      <c r="N23" s="258">
        <v>0</v>
      </c>
      <c r="O23" s="258">
        <v>0</v>
      </c>
      <c r="P23" s="258">
        <v>9.6</v>
      </c>
      <c r="Q23" s="252">
        <v>6</v>
      </c>
      <c r="R23" s="240">
        <v>28.9</v>
      </c>
      <c r="S23" s="240">
        <v>67</v>
      </c>
      <c r="T23" s="240">
        <v>3</v>
      </c>
      <c r="U23" s="252">
        <v>345.6654247391952</v>
      </c>
      <c r="V23" s="251">
        <v>522.2</v>
      </c>
      <c r="W23" s="251">
        <v>882.3</v>
      </c>
      <c r="X23" s="252">
        <v>21</v>
      </c>
      <c r="Y23" s="251">
        <v>444</v>
      </c>
      <c r="Z23" s="251">
        <v>324</v>
      </c>
      <c r="AA23" s="251">
        <v>168</v>
      </c>
    </row>
    <row r="24" spans="1:27" ht="12">
      <c r="A24" s="240">
        <v>21</v>
      </c>
      <c r="B24" s="241" t="s">
        <v>9</v>
      </c>
      <c r="C24" s="250">
        <v>5.215</v>
      </c>
      <c r="D24" s="251">
        <v>29329.81783317354</v>
      </c>
      <c r="E24" s="252">
        <v>186.175</v>
      </c>
      <c r="F24" s="251">
        <v>338.15</v>
      </c>
      <c r="G24" s="253">
        <v>0.16</v>
      </c>
      <c r="H24" s="254">
        <v>62.1</v>
      </c>
      <c r="I24" s="253">
        <v>40.97</v>
      </c>
      <c r="J24" s="259">
        <v>3.57</v>
      </c>
      <c r="K24" s="255">
        <v>2404.1</v>
      </c>
      <c r="L24" s="256">
        <v>2.17</v>
      </c>
      <c r="M24" s="257">
        <v>0.49775112443778113</v>
      </c>
      <c r="N24" s="258">
        <v>0.15414258188824664</v>
      </c>
      <c r="O24" s="258">
        <v>0</v>
      </c>
      <c r="P24" s="258">
        <v>8.9</v>
      </c>
      <c r="Q24" s="252">
        <v>3</v>
      </c>
      <c r="R24" s="240">
        <v>30.2</v>
      </c>
      <c r="S24" s="240">
        <v>66.5</v>
      </c>
      <c r="T24" s="240">
        <v>0.7</v>
      </c>
      <c r="U24" s="252">
        <v>418.02972195589643</v>
      </c>
      <c r="V24" s="251">
        <v>2861</v>
      </c>
      <c r="W24" s="251">
        <v>4516.8</v>
      </c>
      <c r="X24" s="252">
        <v>44.2</v>
      </c>
      <c r="Y24" s="251">
        <v>2650</v>
      </c>
      <c r="Z24" s="251">
        <v>322</v>
      </c>
      <c r="AA24" s="251">
        <v>120</v>
      </c>
    </row>
    <row r="25" spans="1:27" ht="12">
      <c r="A25" s="240">
        <v>22</v>
      </c>
      <c r="B25" s="241" t="s">
        <v>10</v>
      </c>
      <c r="C25" s="250">
        <v>60.424</v>
      </c>
      <c r="D25" s="251">
        <v>28542.41692042897</v>
      </c>
      <c r="E25" s="252">
        <v>2018.08</v>
      </c>
      <c r="F25" s="251">
        <v>551.5</v>
      </c>
      <c r="G25" s="253">
        <v>0.37</v>
      </c>
      <c r="H25" s="254">
        <v>76.3</v>
      </c>
      <c r="I25" s="253">
        <v>38.85</v>
      </c>
      <c r="J25" s="259">
        <v>4.26</v>
      </c>
      <c r="K25" s="255">
        <v>24690.7</v>
      </c>
      <c r="L25" s="256">
        <v>2.42</v>
      </c>
      <c r="M25" s="257">
        <v>0.5360983102918587</v>
      </c>
      <c r="N25" s="258">
        <v>65.48747461069736</v>
      </c>
      <c r="O25" s="258">
        <v>7.075152335815843</v>
      </c>
      <c r="P25" s="258">
        <v>10.1</v>
      </c>
      <c r="Q25" s="252">
        <v>2.1</v>
      </c>
      <c r="R25" s="240">
        <v>24.3</v>
      </c>
      <c r="S25" s="240">
        <v>73</v>
      </c>
      <c r="T25" s="240">
        <v>2.3</v>
      </c>
      <c r="U25" s="252">
        <v>482.58969945716933</v>
      </c>
      <c r="V25" s="251">
        <v>34124</v>
      </c>
      <c r="W25" s="251">
        <v>38592.8</v>
      </c>
      <c r="X25" s="252">
        <v>34.7</v>
      </c>
      <c r="Y25" s="251">
        <v>18716</v>
      </c>
      <c r="Z25" s="251">
        <v>301</v>
      </c>
      <c r="AA25" s="251">
        <v>93</v>
      </c>
    </row>
    <row r="26" spans="1:27" ht="12">
      <c r="A26" s="240">
        <v>23</v>
      </c>
      <c r="B26" s="241" t="s">
        <v>11</v>
      </c>
      <c r="C26" s="250">
        <v>82.425</v>
      </c>
      <c r="D26" s="251">
        <v>29015.092508340917</v>
      </c>
      <c r="E26" s="252">
        <v>2706.673</v>
      </c>
      <c r="F26" s="251">
        <v>357.03</v>
      </c>
      <c r="G26" s="253">
        <v>-0.35</v>
      </c>
      <c r="H26" s="254">
        <v>88.1</v>
      </c>
      <c r="I26" s="253">
        <v>42.16</v>
      </c>
      <c r="J26" s="259">
        <v>4.16</v>
      </c>
      <c r="K26" s="255">
        <v>38930.9</v>
      </c>
      <c r="L26" s="256">
        <v>2.12</v>
      </c>
      <c r="M26" s="257">
        <v>0.4925373134328358</v>
      </c>
      <c r="N26" s="258">
        <v>33.48300970873787</v>
      </c>
      <c r="O26" s="258">
        <v>4.441747572815534</v>
      </c>
      <c r="P26" s="258">
        <v>10.6</v>
      </c>
      <c r="Q26" s="252">
        <v>1.7</v>
      </c>
      <c r="R26" s="240">
        <v>31</v>
      </c>
      <c r="S26" s="240">
        <v>68</v>
      </c>
      <c r="T26" s="240">
        <v>1.6</v>
      </c>
      <c r="U26" s="252">
        <v>538.4689111313315</v>
      </c>
      <c r="V26" s="251">
        <v>53780</v>
      </c>
      <c r="W26" s="251">
        <v>59128</v>
      </c>
      <c r="X26" s="252">
        <v>43.1</v>
      </c>
      <c r="Y26" s="251">
        <v>34000</v>
      </c>
      <c r="Z26" s="251">
        <v>276</v>
      </c>
      <c r="AA26" s="251">
        <v>147</v>
      </c>
    </row>
    <row r="27" spans="1:27" ht="12">
      <c r="A27" s="240">
        <v>24</v>
      </c>
      <c r="B27" s="241" t="s">
        <v>12</v>
      </c>
      <c r="C27" s="250">
        <v>10.648</v>
      </c>
      <c r="D27" s="251">
        <v>20989.85725018783</v>
      </c>
      <c r="E27" s="252">
        <v>205.493</v>
      </c>
      <c r="F27" s="251">
        <v>131.96</v>
      </c>
      <c r="G27" s="253">
        <v>0.17</v>
      </c>
      <c r="H27" s="254">
        <v>60.8</v>
      </c>
      <c r="I27" s="253">
        <v>40.5</v>
      </c>
      <c r="J27" s="259">
        <v>5.53</v>
      </c>
      <c r="K27" s="255">
        <v>3746.4</v>
      </c>
      <c r="L27" s="256">
        <v>2.84</v>
      </c>
      <c r="M27" s="257">
        <v>0.49402985074626865</v>
      </c>
      <c r="N27" s="258">
        <v>0.5</v>
      </c>
      <c r="O27" s="258">
        <v>3.3118675252989878</v>
      </c>
      <c r="P27" s="258">
        <v>10</v>
      </c>
      <c r="Q27" s="252">
        <v>3.7</v>
      </c>
      <c r="R27" s="240">
        <v>22</v>
      </c>
      <c r="S27" s="240">
        <v>71</v>
      </c>
      <c r="T27" s="240">
        <v>2.9</v>
      </c>
      <c r="U27" s="252">
        <v>321.5345604808415</v>
      </c>
      <c r="V27" s="251">
        <v>5659.3</v>
      </c>
      <c r="W27" s="251">
        <v>9314</v>
      </c>
      <c r="X27" s="252">
        <v>8.2</v>
      </c>
      <c r="Y27" s="251">
        <v>1705</v>
      </c>
      <c r="Z27" s="251">
        <v>235</v>
      </c>
      <c r="AA27" s="251">
        <v>200</v>
      </c>
    </row>
    <row r="28" spans="1:27" ht="12">
      <c r="A28" s="240">
        <v>25</v>
      </c>
      <c r="B28" s="241" t="s">
        <v>209</v>
      </c>
      <c r="C28" s="250">
        <v>14.281</v>
      </c>
      <c r="D28" s="251">
        <v>3754.569007772565</v>
      </c>
      <c r="E28" s="252">
        <v>26.118</v>
      </c>
      <c r="F28" s="251">
        <v>108.89</v>
      </c>
      <c r="G28" s="253">
        <v>2.57</v>
      </c>
      <c r="H28" s="254">
        <v>46.3</v>
      </c>
      <c r="I28" s="253">
        <v>18.47</v>
      </c>
      <c r="J28" s="259">
        <v>35.93</v>
      </c>
      <c r="K28" s="260">
        <v>2409.3</v>
      </c>
      <c r="L28" s="261">
        <v>5.06</v>
      </c>
      <c r="M28" s="257">
        <v>0.85</v>
      </c>
      <c r="N28" s="258">
        <v>75.96236099230111</v>
      </c>
      <c r="O28" s="258">
        <v>0</v>
      </c>
      <c r="P28" s="258">
        <v>7.5</v>
      </c>
      <c r="Q28" s="252">
        <v>2.6</v>
      </c>
      <c r="R28" s="240">
        <v>19.5</v>
      </c>
      <c r="S28" s="240">
        <v>57.9</v>
      </c>
      <c r="T28" s="240">
        <v>7.2</v>
      </c>
      <c r="U28" s="252">
        <v>40.524683145438</v>
      </c>
      <c r="V28" s="251">
        <v>846</v>
      </c>
      <c r="W28" s="251">
        <v>1577.1</v>
      </c>
      <c r="X28" s="252">
        <v>1.4</v>
      </c>
      <c r="Y28" s="251">
        <v>400</v>
      </c>
      <c r="Z28" s="251">
        <v>1072</v>
      </c>
      <c r="AA28" s="251">
        <v>909</v>
      </c>
    </row>
    <row r="29" spans="1:27" ht="12">
      <c r="A29" s="240">
        <v>26</v>
      </c>
      <c r="B29" s="241" t="s">
        <v>210</v>
      </c>
      <c r="C29" s="250">
        <v>6.855</v>
      </c>
      <c r="D29" s="251">
        <v>30994.45660102115</v>
      </c>
      <c r="E29" s="252">
        <v>164.554</v>
      </c>
      <c r="F29" s="251">
        <v>1.07</v>
      </c>
      <c r="G29" s="253">
        <v>0.65</v>
      </c>
      <c r="H29" s="254">
        <v>100</v>
      </c>
      <c r="I29" s="253">
        <v>39.4</v>
      </c>
      <c r="J29" s="259">
        <v>2.97</v>
      </c>
      <c r="K29" s="260">
        <v>2116.9</v>
      </c>
      <c r="L29" s="261">
        <v>3.25</v>
      </c>
      <c r="M29" s="257">
        <v>0.36425648021828105</v>
      </c>
      <c r="N29" s="258">
        <v>4.154302670623145</v>
      </c>
      <c r="O29" s="258">
        <v>0.8</v>
      </c>
      <c r="P29" s="258">
        <v>6.7</v>
      </c>
      <c r="Q29" s="252">
        <v>7.9</v>
      </c>
      <c r="R29" s="240">
        <v>11.3</v>
      </c>
      <c r="S29" s="240">
        <v>88.6</v>
      </c>
      <c r="T29" s="240">
        <v>-0.3</v>
      </c>
      <c r="U29" s="252">
        <v>56.85995623632385</v>
      </c>
      <c r="V29" s="251">
        <v>3925.8</v>
      </c>
      <c r="W29" s="251">
        <v>6395.7</v>
      </c>
      <c r="X29" s="252">
        <v>42.2</v>
      </c>
      <c r="Y29" s="251">
        <v>2919</v>
      </c>
      <c r="Z29" s="251">
        <v>625</v>
      </c>
      <c r="AA29" s="251">
        <v>192</v>
      </c>
    </row>
    <row r="30" spans="1:27" ht="12">
      <c r="A30" s="240">
        <v>27</v>
      </c>
      <c r="B30" s="241" t="s">
        <v>13</v>
      </c>
      <c r="C30" s="250">
        <v>10.032</v>
      </c>
      <c r="D30" s="251">
        <v>15199.860446570972</v>
      </c>
      <c r="E30" s="252">
        <v>99.347</v>
      </c>
      <c r="F30" s="251">
        <v>93.03</v>
      </c>
      <c r="G30" s="253">
        <v>-0.26</v>
      </c>
      <c r="H30" s="254">
        <v>65.1</v>
      </c>
      <c r="I30" s="253">
        <v>38.57</v>
      </c>
      <c r="J30" s="259">
        <v>8.57</v>
      </c>
      <c r="K30" s="255">
        <v>3711</v>
      </c>
      <c r="L30" s="256">
        <v>2.73</v>
      </c>
      <c r="M30" s="257">
        <v>0.4492753623188406</v>
      </c>
      <c r="N30" s="258">
        <v>60.05888125613347</v>
      </c>
      <c r="O30" s="258">
        <v>0</v>
      </c>
      <c r="P30" s="258">
        <v>5.9</v>
      </c>
      <c r="Q30" s="252">
        <v>3.9</v>
      </c>
      <c r="R30" s="240">
        <v>31.4</v>
      </c>
      <c r="S30" s="240">
        <v>65.3</v>
      </c>
      <c r="T30" s="240">
        <v>7</v>
      </c>
      <c r="U30" s="252">
        <v>262.11383572567786</v>
      </c>
      <c r="V30" s="251">
        <v>3801.5</v>
      </c>
      <c r="W30" s="251">
        <v>6886.1</v>
      </c>
      <c r="X30" s="252">
        <v>10.8</v>
      </c>
      <c r="Y30" s="251">
        <v>1600</v>
      </c>
      <c r="Z30" s="251">
        <v>305</v>
      </c>
      <c r="AA30" s="251">
        <v>127</v>
      </c>
    </row>
    <row r="31" spans="1:27" ht="12">
      <c r="A31" s="240">
        <v>28</v>
      </c>
      <c r="B31" s="241" t="s">
        <v>14</v>
      </c>
      <c r="C31" s="250">
        <v>1065.071</v>
      </c>
      <c r="D31" s="251">
        <v>3089.747068505292</v>
      </c>
      <c r="E31" s="252">
        <v>661.046</v>
      </c>
      <c r="F31" s="251">
        <v>3287.26</v>
      </c>
      <c r="G31" s="253">
        <v>1.4</v>
      </c>
      <c r="H31" s="254">
        <v>28.3</v>
      </c>
      <c r="I31" s="253">
        <v>24.66</v>
      </c>
      <c r="J31" s="259">
        <v>56.29</v>
      </c>
      <c r="K31" s="255">
        <v>199404.1</v>
      </c>
      <c r="L31" s="256">
        <v>5.3</v>
      </c>
      <c r="M31" s="257">
        <v>0.5748031496062992</v>
      </c>
      <c r="N31" s="258">
        <v>1.4</v>
      </c>
      <c r="O31" s="258">
        <v>8.969019116690454</v>
      </c>
      <c r="P31" s="258">
        <v>9.2</v>
      </c>
      <c r="Q31" s="252">
        <v>6.2</v>
      </c>
      <c r="R31" s="240">
        <v>28.4</v>
      </c>
      <c r="S31" s="240">
        <v>48</v>
      </c>
      <c r="T31" s="240">
        <v>4.2</v>
      </c>
      <c r="U31" s="252">
        <v>5.672861245869994</v>
      </c>
      <c r="V31" s="251">
        <v>41420</v>
      </c>
      <c r="W31" s="251">
        <v>12687.6</v>
      </c>
      <c r="X31" s="252">
        <v>0.7</v>
      </c>
      <c r="Y31" s="251">
        <v>16580</v>
      </c>
      <c r="Z31" s="251">
        <v>1916</v>
      </c>
      <c r="AA31" s="251">
        <v>1364</v>
      </c>
    </row>
    <row r="32" spans="1:27" ht="12">
      <c r="A32" s="240">
        <v>29</v>
      </c>
      <c r="B32" s="241" t="s">
        <v>15</v>
      </c>
      <c r="C32" s="250">
        <v>238.453</v>
      </c>
      <c r="D32" s="251">
        <v>3360.964215170285</v>
      </c>
      <c r="E32" s="252">
        <v>257.872</v>
      </c>
      <c r="F32" s="251">
        <v>1904.57</v>
      </c>
      <c r="G32" s="253">
        <v>1.45</v>
      </c>
      <c r="H32" s="254">
        <v>45.6</v>
      </c>
      <c r="I32" s="253">
        <v>26.48</v>
      </c>
      <c r="J32" s="259">
        <v>35.6</v>
      </c>
      <c r="K32" s="260">
        <v>56245.2</v>
      </c>
      <c r="L32" s="261">
        <v>3.88</v>
      </c>
      <c r="M32" s="257">
        <v>0.5267175572519084</v>
      </c>
      <c r="N32" s="258">
        <v>3.5813580886857355</v>
      </c>
      <c r="O32" s="258">
        <v>87.20606945949767</v>
      </c>
      <c r="P32" s="258">
        <v>9.2</v>
      </c>
      <c r="Q32" s="252">
        <v>4.9</v>
      </c>
      <c r="R32" s="240">
        <v>45</v>
      </c>
      <c r="S32" s="240">
        <v>40.4</v>
      </c>
      <c r="T32" s="240">
        <v>6.1</v>
      </c>
      <c r="U32" s="252">
        <v>14.272833640172276</v>
      </c>
      <c r="V32" s="251">
        <v>7949.3</v>
      </c>
      <c r="W32" s="251">
        <v>11700</v>
      </c>
      <c r="X32" s="252">
        <v>1.2</v>
      </c>
      <c r="Y32" s="251">
        <v>8000</v>
      </c>
      <c r="Z32" s="251">
        <v>6605</v>
      </c>
      <c r="AA32" s="251">
        <v>1692</v>
      </c>
    </row>
    <row r="33" spans="1:27" ht="12">
      <c r="A33" s="240">
        <v>30</v>
      </c>
      <c r="B33" s="241" t="s">
        <v>211</v>
      </c>
      <c r="C33" s="250">
        <v>69.019</v>
      </c>
      <c r="D33" s="251">
        <v>7516.611367884205</v>
      </c>
      <c r="E33" s="252">
        <v>168.971</v>
      </c>
      <c r="F33" s="251">
        <v>1648.2</v>
      </c>
      <c r="G33" s="253">
        <v>0.86</v>
      </c>
      <c r="H33" s="254">
        <v>66.7</v>
      </c>
      <c r="I33" s="253">
        <v>24.23</v>
      </c>
      <c r="J33" s="259">
        <v>41.58</v>
      </c>
      <c r="K33" s="255">
        <v>12446.2</v>
      </c>
      <c r="L33" s="256">
        <v>5.5</v>
      </c>
      <c r="M33" s="257">
        <v>0.488095238095238</v>
      </c>
      <c r="N33" s="258">
        <v>0</v>
      </c>
      <c r="O33" s="258">
        <v>90.13240857503153</v>
      </c>
      <c r="P33" s="258">
        <v>11.2</v>
      </c>
      <c r="Q33" s="252">
        <v>6.3</v>
      </c>
      <c r="R33" s="240">
        <v>40.9</v>
      </c>
      <c r="S33" s="240">
        <v>48.7</v>
      </c>
      <c r="T33" s="240">
        <v>15.5</v>
      </c>
      <c r="U33" s="252">
        <v>19.585911125921847</v>
      </c>
      <c r="V33" s="251">
        <v>12200.2</v>
      </c>
      <c r="W33" s="251">
        <v>2187</v>
      </c>
      <c r="X33" s="252">
        <v>7.5</v>
      </c>
      <c r="Y33" s="251">
        <v>3168</v>
      </c>
      <c r="Z33" s="251">
        <v>1033</v>
      </c>
      <c r="AA33" s="251">
        <v>628</v>
      </c>
    </row>
    <row r="34" spans="1:27" ht="12">
      <c r="A34" s="240">
        <v>31</v>
      </c>
      <c r="B34" s="241" t="s">
        <v>212</v>
      </c>
      <c r="C34" s="250">
        <v>3.97</v>
      </c>
      <c r="D34" s="251">
        <v>38362.972292191436</v>
      </c>
      <c r="E34" s="252">
        <v>181.52</v>
      </c>
      <c r="F34" s="251">
        <v>70.27</v>
      </c>
      <c r="G34" s="253">
        <v>1.16</v>
      </c>
      <c r="H34" s="254">
        <v>59.9</v>
      </c>
      <c r="I34" s="253">
        <v>33.7</v>
      </c>
      <c r="J34" s="259">
        <v>5.39</v>
      </c>
      <c r="K34" s="255">
        <v>1316.7</v>
      </c>
      <c r="L34" s="256">
        <v>2.99</v>
      </c>
      <c r="M34" s="257">
        <v>0.48148148148148145</v>
      </c>
      <c r="N34" s="258">
        <v>91.62303664921467</v>
      </c>
      <c r="O34" s="258">
        <v>0</v>
      </c>
      <c r="P34" s="258">
        <v>4.3</v>
      </c>
      <c r="Q34" s="252">
        <v>5.1</v>
      </c>
      <c r="R34" s="240">
        <v>46</v>
      </c>
      <c r="S34" s="240">
        <v>49</v>
      </c>
      <c r="T34" s="240">
        <v>2.2</v>
      </c>
      <c r="U34" s="252">
        <v>353.2241813602015</v>
      </c>
      <c r="V34" s="251">
        <v>1975</v>
      </c>
      <c r="W34" s="251">
        <v>3000</v>
      </c>
      <c r="X34" s="252">
        <v>42.1</v>
      </c>
      <c r="Y34" s="251">
        <v>1065</v>
      </c>
      <c r="Z34" s="251">
        <v>457</v>
      </c>
      <c r="AA34" s="251">
        <v>270</v>
      </c>
    </row>
    <row r="35" spans="1:27" ht="12">
      <c r="A35" s="240">
        <v>32</v>
      </c>
      <c r="B35" s="241" t="s">
        <v>213</v>
      </c>
      <c r="C35" s="250">
        <v>6.199</v>
      </c>
      <c r="D35" s="251">
        <v>23415.38957896435</v>
      </c>
      <c r="E35" s="252">
        <v>116.344</v>
      </c>
      <c r="F35" s="251">
        <v>21.06</v>
      </c>
      <c r="G35" s="253">
        <v>1.2</v>
      </c>
      <c r="H35" s="254">
        <v>91.6</v>
      </c>
      <c r="I35" s="253">
        <v>29.39</v>
      </c>
      <c r="J35" s="250">
        <v>7.03</v>
      </c>
      <c r="K35" s="255">
        <v>1902.7</v>
      </c>
      <c r="L35" s="256">
        <v>3.54</v>
      </c>
      <c r="M35" s="257">
        <v>0.5772870662460569</v>
      </c>
      <c r="N35" s="258">
        <v>0</v>
      </c>
      <c r="O35" s="258">
        <v>14.88</v>
      </c>
      <c r="P35" s="258">
        <v>10.7</v>
      </c>
      <c r="Q35" s="252">
        <v>3.9</v>
      </c>
      <c r="R35" s="240">
        <v>37.7</v>
      </c>
      <c r="S35" s="240">
        <v>59.5</v>
      </c>
      <c r="T35" s="240">
        <v>0</v>
      </c>
      <c r="U35" s="252">
        <v>245.54153895789642</v>
      </c>
      <c r="V35" s="251">
        <v>3100</v>
      </c>
      <c r="W35" s="251">
        <v>6334</v>
      </c>
      <c r="X35" s="252">
        <v>25.4</v>
      </c>
      <c r="Y35" s="251">
        <v>2000</v>
      </c>
      <c r="Z35" s="251">
        <v>284</v>
      </c>
      <c r="AA35" s="251">
        <v>158</v>
      </c>
    </row>
    <row r="36" spans="1:27" ht="12">
      <c r="A36" s="240">
        <v>33</v>
      </c>
      <c r="B36" s="241" t="s">
        <v>16</v>
      </c>
      <c r="C36" s="250">
        <v>127.333</v>
      </c>
      <c r="D36" s="251">
        <v>29978.25386977453</v>
      </c>
      <c r="E36" s="252">
        <v>4668.418</v>
      </c>
      <c r="F36" s="251">
        <v>377.8</v>
      </c>
      <c r="G36" s="253">
        <v>0.05</v>
      </c>
      <c r="H36" s="254">
        <v>65.4</v>
      </c>
      <c r="I36" s="253">
        <v>42.64</v>
      </c>
      <c r="J36" s="259">
        <v>3.26</v>
      </c>
      <c r="K36" s="255">
        <v>48081.2</v>
      </c>
      <c r="L36" s="256">
        <v>2.65</v>
      </c>
      <c r="M36" s="257">
        <v>0.49925037481259366</v>
      </c>
      <c r="N36" s="258">
        <v>0</v>
      </c>
      <c r="O36" s="258">
        <v>0</v>
      </c>
      <c r="P36" s="258">
        <v>4.7</v>
      </c>
      <c r="Q36" s="252">
        <v>2.9</v>
      </c>
      <c r="R36" s="240">
        <v>24.7</v>
      </c>
      <c r="S36" s="240">
        <v>74.1</v>
      </c>
      <c r="T36" s="240">
        <v>-0.1</v>
      </c>
      <c r="U36" s="252">
        <v>428.3297495543182</v>
      </c>
      <c r="V36" s="251">
        <v>76000</v>
      </c>
      <c r="W36" s="251">
        <v>81118.4</v>
      </c>
      <c r="X36" s="252">
        <v>38.2</v>
      </c>
      <c r="Y36" s="251">
        <v>57200</v>
      </c>
      <c r="Z36" s="251">
        <v>522</v>
      </c>
      <c r="AA36" s="251">
        <v>77</v>
      </c>
    </row>
    <row r="37" spans="1:27" ht="12">
      <c r="A37" s="240">
        <v>34</v>
      </c>
      <c r="B37" s="241" t="s">
        <v>214</v>
      </c>
      <c r="C37" s="250">
        <v>5.611</v>
      </c>
      <c r="D37" s="251">
        <v>4401.532703617893</v>
      </c>
      <c r="E37" s="252">
        <v>10.972</v>
      </c>
      <c r="F37" s="251">
        <v>89.21</v>
      </c>
      <c r="G37" s="253">
        <v>2.56</v>
      </c>
      <c r="H37" s="254">
        <v>79</v>
      </c>
      <c r="I37" s="253">
        <v>22.62</v>
      </c>
      <c r="J37" s="259">
        <v>17.35</v>
      </c>
      <c r="K37" s="260">
        <v>948.7</v>
      </c>
      <c r="L37" s="261">
        <v>5.69</v>
      </c>
      <c r="M37" s="257">
        <v>0.6366612111292963</v>
      </c>
      <c r="N37" s="258">
        <v>0</v>
      </c>
      <c r="O37" s="258">
        <v>93.56725146198829</v>
      </c>
      <c r="P37" s="258">
        <v>15</v>
      </c>
      <c r="Q37" s="252">
        <v>5.1</v>
      </c>
      <c r="R37" s="240">
        <v>26</v>
      </c>
      <c r="S37" s="240">
        <v>71.5</v>
      </c>
      <c r="T37" s="240">
        <v>3.2</v>
      </c>
      <c r="U37" s="252">
        <v>61.664587417572626</v>
      </c>
      <c r="V37" s="251">
        <v>674.5</v>
      </c>
      <c r="W37" s="251">
        <v>1219.6</v>
      </c>
      <c r="X37" s="252">
        <v>3.8</v>
      </c>
      <c r="Y37" s="251">
        <v>307</v>
      </c>
      <c r="Z37" s="251">
        <v>523</v>
      </c>
      <c r="AA37" s="251">
        <v>553</v>
      </c>
    </row>
    <row r="38" spans="1:27" ht="12">
      <c r="A38" s="240">
        <v>35</v>
      </c>
      <c r="B38" s="242" t="s">
        <v>215</v>
      </c>
      <c r="C38" s="250">
        <v>15.144</v>
      </c>
      <c r="D38" s="251">
        <v>7352.548864236662</v>
      </c>
      <c r="E38" s="252">
        <v>40.754</v>
      </c>
      <c r="F38" s="251">
        <v>2724.9</v>
      </c>
      <c r="G38" s="253">
        <v>0.3</v>
      </c>
      <c r="H38" s="254">
        <v>55.8</v>
      </c>
      <c r="I38" s="253">
        <v>28.52</v>
      </c>
      <c r="J38" s="259">
        <v>29.21</v>
      </c>
      <c r="K38" s="260">
        <v>4335.7</v>
      </c>
      <c r="L38" s="261">
        <v>3.56</v>
      </c>
      <c r="M38" s="257">
        <v>0.47058823529411764</v>
      </c>
      <c r="N38" s="258">
        <v>0</v>
      </c>
      <c r="O38" s="258">
        <v>47.00343041635838</v>
      </c>
      <c r="P38" s="258">
        <v>8</v>
      </c>
      <c r="Q38" s="252">
        <v>9.1</v>
      </c>
      <c r="R38" s="240">
        <v>37.8</v>
      </c>
      <c r="S38" s="240">
        <v>54.8</v>
      </c>
      <c r="T38" s="240">
        <v>6.9</v>
      </c>
      <c r="U38" s="252">
        <v>70.1633650290544</v>
      </c>
      <c r="V38" s="251">
        <v>2081.9</v>
      </c>
      <c r="W38" s="251">
        <v>1027</v>
      </c>
      <c r="X38" s="262">
        <v>15</v>
      </c>
      <c r="Y38" s="251">
        <v>250</v>
      </c>
      <c r="Z38" s="251">
        <v>289</v>
      </c>
      <c r="AA38" s="251">
        <v>134</v>
      </c>
    </row>
    <row r="39" spans="1:27" ht="12">
      <c r="A39" s="240">
        <v>36</v>
      </c>
      <c r="B39" s="242" t="s">
        <v>17</v>
      </c>
      <c r="C39" s="250">
        <v>48.598</v>
      </c>
      <c r="D39" s="251">
        <v>21191.160130046504</v>
      </c>
      <c r="E39" s="252">
        <v>681.469</v>
      </c>
      <c r="F39" s="251">
        <v>99.26</v>
      </c>
      <c r="G39" s="253">
        <v>0.38</v>
      </c>
      <c r="H39" s="254">
        <v>80.3</v>
      </c>
      <c r="I39" s="253">
        <v>34.51</v>
      </c>
      <c r="J39" s="259">
        <v>7.05</v>
      </c>
      <c r="K39" s="260">
        <v>16755.7</v>
      </c>
      <c r="L39" s="261">
        <v>2.79</v>
      </c>
      <c r="M39" s="257">
        <v>0.4005602240896358</v>
      </c>
      <c r="N39" s="258">
        <v>6.628907069435703</v>
      </c>
      <c r="O39" s="258">
        <v>0</v>
      </c>
      <c r="P39" s="258">
        <v>3.6</v>
      </c>
      <c r="Q39" s="252">
        <v>4.6</v>
      </c>
      <c r="R39" s="240">
        <v>40.4</v>
      </c>
      <c r="S39" s="240">
        <v>56.3</v>
      </c>
      <c r="T39" s="240">
        <v>3.6</v>
      </c>
      <c r="U39" s="252">
        <v>200.6304374665624</v>
      </c>
      <c r="V39" s="251">
        <v>23257</v>
      </c>
      <c r="W39" s="251">
        <v>32342</v>
      </c>
      <c r="X39" s="252">
        <v>55.6</v>
      </c>
      <c r="Y39" s="251">
        <v>26270</v>
      </c>
      <c r="Z39" s="251">
        <v>629</v>
      </c>
      <c r="AA39" s="251">
        <v>164</v>
      </c>
    </row>
    <row r="40" spans="1:27" ht="12">
      <c r="A40" s="240">
        <v>37</v>
      </c>
      <c r="B40" s="241" t="s">
        <v>216</v>
      </c>
      <c r="C40" s="250">
        <v>2.258</v>
      </c>
      <c r="D40" s="251">
        <v>18844.995571302035</v>
      </c>
      <c r="E40" s="252">
        <v>51.804</v>
      </c>
      <c r="F40" s="251">
        <v>17.82</v>
      </c>
      <c r="G40" s="253">
        <v>3.44</v>
      </c>
      <c r="H40" s="254">
        <v>96.3</v>
      </c>
      <c r="I40" s="253">
        <v>25.86</v>
      </c>
      <c r="J40" s="259">
        <v>9.95</v>
      </c>
      <c r="K40" s="260">
        <v>365.8</v>
      </c>
      <c r="L40" s="261">
        <v>6.44</v>
      </c>
      <c r="M40" s="257">
        <v>0.4326647564469914</v>
      </c>
      <c r="N40" s="258">
        <v>0</v>
      </c>
      <c r="O40" s="258">
        <v>44.93392070484582</v>
      </c>
      <c r="P40" s="258">
        <v>2.2</v>
      </c>
      <c r="Q40" s="252">
        <v>6.8</v>
      </c>
      <c r="R40" s="240">
        <v>60.5</v>
      </c>
      <c r="S40" s="240">
        <v>39.1</v>
      </c>
      <c r="T40" s="240">
        <v>2.3</v>
      </c>
      <c r="U40" s="252">
        <v>316.651904340124</v>
      </c>
      <c r="V40" s="251">
        <v>481.9</v>
      </c>
      <c r="W40" s="251">
        <v>1227</v>
      </c>
      <c r="X40" s="252">
        <v>13.2</v>
      </c>
      <c r="Y40" s="251">
        <v>250</v>
      </c>
      <c r="Z40" s="251">
        <v>625</v>
      </c>
      <c r="AA40" s="251">
        <v>455</v>
      </c>
    </row>
    <row r="41" spans="1:27" ht="12">
      <c r="A41" s="240">
        <v>38</v>
      </c>
      <c r="B41" s="241" t="s">
        <v>217</v>
      </c>
      <c r="C41" s="250">
        <v>2.306</v>
      </c>
      <c r="D41" s="251">
        <v>12049.002601908065</v>
      </c>
      <c r="E41" s="252">
        <v>13.657</v>
      </c>
      <c r="F41" s="251">
        <v>64.6</v>
      </c>
      <c r="G41" s="253">
        <v>-0.69</v>
      </c>
      <c r="H41" s="254">
        <v>66.2</v>
      </c>
      <c r="I41" s="253">
        <v>39.12</v>
      </c>
      <c r="J41" s="259">
        <v>9.55</v>
      </c>
      <c r="K41" s="255">
        <v>790.9</v>
      </c>
      <c r="L41" s="256">
        <v>2.95</v>
      </c>
      <c r="M41" s="257">
        <v>0.44508670520231214</v>
      </c>
      <c r="N41" s="258">
        <v>14.843087362171332</v>
      </c>
      <c r="O41" s="258">
        <v>0</v>
      </c>
      <c r="P41" s="258">
        <v>8.8</v>
      </c>
      <c r="Q41" s="252">
        <v>7.6</v>
      </c>
      <c r="R41" s="240">
        <v>24.8</v>
      </c>
      <c r="S41" s="240">
        <v>70.8</v>
      </c>
      <c r="T41" s="240">
        <v>6</v>
      </c>
      <c r="U41" s="252">
        <v>268.46530789245446</v>
      </c>
      <c r="V41" s="251">
        <v>741.4</v>
      </c>
      <c r="W41" s="251">
        <v>917.2</v>
      </c>
      <c r="X41" s="252">
        <v>17.2</v>
      </c>
      <c r="Y41" s="251">
        <v>310</v>
      </c>
      <c r="Z41" s="251">
        <v>295</v>
      </c>
      <c r="AA41" s="251">
        <v>128</v>
      </c>
    </row>
    <row r="42" spans="1:27" ht="12">
      <c r="A42" s="240">
        <v>39</v>
      </c>
      <c r="B42" s="241" t="s">
        <v>218</v>
      </c>
      <c r="C42" s="250">
        <v>3.777</v>
      </c>
      <c r="D42" s="251">
        <v>5863.383637807784</v>
      </c>
      <c r="E42" s="252">
        <v>19.513</v>
      </c>
      <c r="F42" s="251">
        <v>10.4</v>
      </c>
      <c r="G42" s="253">
        <v>1.26</v>
      </c>
      <c r="H42" s="254">
        <v>87.5</v>
      </c>
      <c r="I42" s="253">
        <v>27.34</v>
      </c>
      <c r="J42" s="250">
        <v>24.52</v>
      </c>
      <c r="K42" s="255">
        <v>792.9</v>
      </c>
      <c r="L42" s="256">
        <v>4.57</v>
      </c>
      <c r="M42" s="257">
        <v>0.5098039215686274</v>
      </c>
      <c r="N42" s="258">
        <v>0</v>
      </c>
      <c r="O42" s="258">
        <v>33.791208791208796</v>
      </c>
      <c r="P42" s="258">
        <v>18</v>
      </c>
      <c r="Q42" s="252">
        <v>4</v>
      </c>
      <c r="R42" s="240">
        <v>21</v>
      </c>
      <c r="S42" s="240">
        <v>67</v>
      </c>
      <c r="T42" s="240">
        <v>2</v>
      </c>
      <c r="U42" s="252">
        <v>362.96002118083135</v>
      </c>
      <c r="V42" s="251">
        <v>678.8</v>
      </c>
      <c r="W42" s="251">
        <v>775.1</v>
      </c>
      <c r="X42" s="252">
        <v>8.1</v>
      </c>
      <c r="Y42" s="251">
        <v>400</v>
      </c>
      <c r="Z42" s="251">
        <v>476</v>
      </c>
      <c r="AA42" s="251">
        <v>319</v>
      </c>
    </row>
    <row r="43" spans="1:27" ht="12">
      <c r="A43" s="240">
        <v>40</v>
      </c>
      <c r="B43" s="242" t="s">
        <v>219</v>
      </c>
      <c r="C43" s="250">
        <v>5.632</v>
      </c>
      <c r="D43" s="251">
        <v>10838.423295454546</v>
      </c>
      <c r="E43" s="252">
        <v>29.027</v>
      </c>
      <c r="F43" s="251">
        <v>1759.54</v>
      </c>
      <c r="G43" s="253">
        <v>2.33</v>
      </c>
      <c r="H43" s="254">
        <v>86.3</v>
      </c>
      <c r="I43" s="253">
        <v>22.68</v>
      </c>
      <c r="J43" s="250">
        <v>24.6</v>
      </c>
      <c r="K43" s="255">
        <v>1217.9</v>
      </c>
      <c r="L43" s="256">
        <v>4.51</v>
      </c>
      <c r="M43" s="257">
        <v>0.6207455429497569</v>
      </c>
      <c r="N43" s="258">
        <v>0.7633587786259541</v>
      </c>
      <c r="O43" s="258">
        <v>96.18320610687023</v>
      </c>
      <c r="P43" s="258">
        <v>30</v>
      </c>
      <c r="Q43" s="252">
        <v>4.9</v>
      </c>
      <c r="R43" s="240">
        <v>45.7</v>
      </c>
      <c r="S43" s="240">
        <v>45.6</v>
      </c>
      <c r="T43" s="240">
        <v>2.9</v>
      </c>
      <c r="U43" s="252">
        <v>98.1356534090909</v>
      </c>
      <c r="V43" s="251">
        <v>660</v>
      </c>
      <c r="W43" s="251">
        <v>70</v>
      </c>
      <c r="X43" s="252">
        <v>2.3</v>
      </c>
      <c r="Y43" s="251">
        <v>125</v>
      </c>
      <c r="Z43" s="251">
        <v>781</v>
      </c>
      <c r="AA43" s="251">
        <v>312</v>
      </c>
    </row>
    <row r="44" spans="1:27" ht="12">
      <c r="A44" s="240">
        <v>41</v>
      </c>
      <c r="B44" s="241" t="s">
        <v>220</v>
      </c>
      <c r="C44" s="250">
        <v>3.608</v>
      </c>
      <c r="D44" s="251">
        <v>12396.618625277162</v>
      </c>
      <c r="E44" s="252">
        <v>22.171</v>
      </c>
      <c r="F44" s="251">
        <v>65.2</v>
      </c>
      <c r="G44" s="253">
        <v>-0.3</v>
      </c>
      <c r="H44" s="254">
        <v>66.7</v>
      </c>
      <c r="I44" s="253">
        <v>37.83</v>
      </c>
      <c r="J44" s="250">
        <v>6.89</v>
      </c>
      <c r="K44" s="255">
        <v>1361.7</v>
      </c>
      <c r="L44" s="256">
        <v>2.53</v>
      </c>
      <c r="M44" s="257">
        <v>0.4619883040935672</v>
      </c>
      <c r="N44" s="258">
        <v>72.08672086720867</v>
      </c>
      <c r="O44" s="258">
        <v>0</v>
      </c>
      <c r="P44" s="258">
        <v>1.3</v>
      </c>
      <c r="Q44" s="252">
        <v>6.6</v>
      </c>
      <c r="R44" s="240">
        <v>33.4</v>
      </c>
      <c r="S44" s="240">
        <v>60.5</v>
      </c>
      <c r="T44" s="240">
        <v>1.1</v>
      </c>
      <c r="U44" s="252">
        <v>327.3129157427938</v>
      </c>
      <c r="V44" s="251">
        <v>1180.1</v>
      </c>
      <c r="W44" s="251">
        <v>1631.6</v>
      </c>
      <c r="X44" s="252">
        <v>11</v>
      </c>
      <c r="Y44" s="251">
        <v>500</v>
      </c>
      <c r="Z44" s="251">
        <v>248</v>
      </c>
      <c r="AA44" s="251">
        <v>108</v>
      </c>
    </row>
    <row r="45" spans="1:27" ht="12">
      <c r="A45" s="240">
        <v>42</v>
      </c>
      <c r="B45" s="241" t="s">
        <v>18</v>
      </c>
      <c r="C45" s="250">
        <v>0.463</v>
      </c>
      <c r="D45" s="251">
        <v>62440.60475161987</v>
      </c>
      <c r="E45" s="252">
        <v>31.783</v>
      </c>
      <c r="F45" s="251">
        <v>2.5864000000000003</v>
      </c>
      <c r="G45" s="253">
        <v>1.25</v>
      </c>
      <c r="H45" s="254">
        <v>91.9</v>
      </c>
      <c r="I45" s="253">
        <v>38.51</v>
      </c>
      <c r="J45" s="259">
        <v>4.81</v>
      </c>
      <c r="K45" s="255">
        <v>156.2</v>
      </c>
      <c r="L45" s="256">
        <v>2.88</v>
      </c>
      <c r="M45" s="257">
        <v>0.5045180722891566</v>
      </c>
      <c r="N45" s="258">
        <v>90.9090909090909</v>
      </c>
      <c r="O45" s="258">
        <v>0</v>
      </c>
      <c r="P45" s="258">
        <v>8</v>
      </c>
      <c r="Q45" s="252">
        <v>2.3</v>
      </c>
      <c r="R45" s="240">
        <v>16.3</v>
      </c>
      <c r="S45" s="240">
        <v>83.1</v>
      </c>
      <c r="T45" s="240">
        <v>2.4</v>
      </c>
      <c r="U45" s="252">
        <v>606.2829373650108</v>
      </c>
      <c r="V45" s="251">
        <v>336.3</v>
      </c>
      <c r="W45" s="251">
        <v>473</v>
      </c>
      <c r="X45" s="252">
        <v>59.4</v>
      </c>
      <c r="Y45" s="251">
        <v>165</v>
      </c>
      <c r="Z45" s="251">
        <v>393</v>
      </c>
      <c r="AA45" s="251">
        <v>147</v>
      </c>
    </row>
    <row r="46" spans="1:27" ht="12">
      <c r="A46" s="240">
        <v>43</v>
      </c>
      <c r="B46" s="241" t="s">
        <v>221</v>
      </c>
      <c r="C46" s="250">
        <v>23.522</v>
      </c>
      <c r="D46" s="251">
        <v>11285.392398605562</v>
      </c>
      <c r="E46" s="252">
        <v>117.776</v>
      </c>
      <c r="F46" s="251">
        <v>329.75</v>
      </c>
      <c r="G46" s="253">
        <v>1.8</v>
      </c>
      <c r="H46" s="254">
        <v>63.9</v>
      </c>
      <c r="I46" s="253">
        <v>23.92</v>
      </c>
      <c r="J46" s="259">
        <v>17.7</v>
      </c>
      <c r="K46" s="260">
        <v>5329.1</v>
      </c>
      <c r="L46" s="261">
        <v>4.7</v>
      </c>
      <c r="M46" s="257">
        <v>0.608695652173913</v>
      </c>
      <c r="N46" s="258">
        <v>0</v>
      </c>
      <c r="O46" s="258">
        <v>47.63379035824856</v>
      </c>
      <c r="P46" s="258">
        <v>3</v>
      </c>
      <c r="Q46" s="252">
        <v>7.1</v>
      </c>
      <c r="R46" s="240">
        <v>33.6</v>
      </c>
      <c r="S46" s="240">
        <v>59.1</v>
      </c>
      <c r="T46" s="240">
        <v>1.3</v>
      </c>
      <c r="U46" s="252">
        <v>215.51789813791345</v>
      </c>
      <c r="V46" s="251">
        <v>4738</v>
      </c>
      <c r="W46" s="251">
        <v>9241.4</v>
      </c>
      <c r="X46" s="252">
        <v>14.7</v>
      </c>
      <c r="Y46" s="251">
        <v>7841</v>
      </c>
      <c r="Z46" s="251">
        <v>1488</v>
      </c>
      <c r="AA46" s="251">
        <v>527</v>
      </c>
    </row>
    <row r="47" spans="1:27" ht="12">
      <c r="A47" s="240">
        <v>44</v>
      </c>
      <c r="B47" s="241" t="s">
        <v>19</v>
      </c>
      <c r="C47" s="250">
        <v>104.96</v>
      </c>
      <c r="D47" s="251">
        <v>9575.54306402439</v>
      </c>
      <c r="E47" s="252">
        <v>676.497</v>
      </c>
      <c r="F47" s="251">
        <v>1958.2</v>
      </c>
      <c r="G47" s="253">
        <v>1.17</v>
      </c>
      <c r="H47" s="254">
        <v>75.5</v>
      </c>
      <c r="I47" s="253">
        <v>24.93</v>
      </c>
      <c r="J47" s="259">
        <v>20.91</v>
      </c>
      <c r="K47" s="260">
        <v>23690.4</v>
      </c>
      <c r="L47" s="261">
        <v>4.34</v>
      </c>
      <c r="M47" s="257">
        <v>0.589825119236884</v>
      </c>
      <c r="N47" s="258">
        <v>90.3880776155231</v>
      </c>
      <c r="O47" s="258">
        <v>0</v>
      </c>
      <c r="P47" s="258">
        <v>3.2</v>
      </c>
      <c r="Q47" s="252">
        <v>4.1</v>
      </c>
      <c r="R47" s="240">
        <v>27.2</v>
      </c>
      <c r="S47" s="240">
        <v>68.9</v>
      </c>
      <c r="T47" s="240">
        <v>5.4</v>
      </c>
      <c r="U47" s="252">
        <v>123.5232469512195</v>
      </c>
      <c r="V47" s="251">
        <v>14941.6</v>
      </c>
      <c r="W47" s="251">
        <v>25928.3</v>
      </c>
      <c r="X47" s="252">
        <v>8.2</v>
      </c>
      <c r="Y47" s="251">
        <v>10033</v>
      </c>
      <c r="Z47" s="251">
        <v>695</v>
      </c>
      <c r="AA47" s="251">
        <v>1267</v>
      </c>
    </row>
    <row r="48" spans="1:27" ht="12">
      <c r="A48" s="240">
        <v>45</v>
      </c>
      <c r="B48" s="241" t="s">
        <v>222</v>
      </c>
      <c r="C48" s="250">
        <v>32.209</v>
      </c>
      <c r="D48" s="251">
        <v>4013.5676363749258</v>
      </c>
      <c r="E48" s="252">
        <v>49.816</v>
      </c>
      <c r="F48" s="251">
        <v>446.55</v>
      </c>
      <c r="G48" s="253">
        <v>1.57</v>
      </c>
      <c r="H48" s="254">
        <v>57.5</v>
      </c>
      <c r="I48" s="253">
        <v>23.61</v>
      </c>
      <c r="J48" s="250">
        <v>41.62</v>
      </c>
      <c r="K48" s="255">
        <v>5783</v>
      </c>
      <c r="L48" s="256">
        <v>5.24</v>
      </c>
      <c r="M48" s="257">
        <v>0.6</v>
      </c>
      <c r="N48" s="258">
        <v>0</v>
      </c>
      <c r="O48" s="258">
        <v>98.2894286691755</v>
      </c>
      <c r="P48" s="258">
        <v>12.1</v>
      </c>
      <c r="Q48" s="252">
        <v>4.4</v>
      </c>
      <c r="R48" s="240">
        <v>35.8</v>
      </c>
      <c r="S48" s="240">
        <v>43</v>
      </c>
      <c r="T48" s="240">
        <v>2.1</v>
      </c>
      <c r="U48" s="252">
        <v>41.17197056723276</v>
      </c>
      <c r="V48" s="251">
        <v>1466.6</v>
      </c>
      <c r="W48" s="251">
        <v>6198.7</v>
      </c>
      <c r="X48" s="252">
        <v>2.4</v>
      </c>
      <c r="Y48" s="251">
        <v>700</v>
      </c>
      <c r="Z48" s="251">
        <v>2123</v>
      </c>
      <c r="AA48" s="251">
        <v>978</v>
      </c>
    </row>
    <row r="49" spans="1:27" ht="12">
      <c r="A49" s="240">
        <v>46</v>
      </c>
      <c r="B49" s="241" t="s">
        <v>20</v>
      </c>
      <c r="C49" s="250">
        <v>16.318</v>
      </c>
      <c r="D49" s="251">
        <v>29256.894227233726</v>
      </c>
      <c r="E49" s="252">
        <v>577.985</v>
      </c>
      <c r="F49" s="251">
        <v>41.53</v>
      </c>
      <c r="G49" s="253">
        <v>0.53</v>
      </c>
      <c r="H49" s="254">
        <v>65.8</v>
      </c>
      <c r="I49" s="253">
        <v>39.04</v>
      </c>
      <c r="J49" s="259">
        <v>5.04</v>
      </c>
      <c r="K49" s="255">
        <v>7002</v>
      </c>
      <c r="L49" s="256">
        <v>2.31</v>
      </c>
      <c r="M49" s="257">
        <v>0.47492625368731567</v>
      </c>
      <c r="N49" s="258">
        <v>30.97622027534418</v>
      </c>
      <c r="O49" s="258">
        <v>4.505632040050062</v>
      </c>
      <c r="P49" s="258">
        <v>6</v>
      </c>
      <c r="Q49" s="252">
        <v>1.2</v>
      </c>
      <c r="R49" s="240">
        <v>24.5</v>
      </c>
      <c r="S49" s="240">
        <v>73.1</v>
      </c>
      <c r="T49" s="240">
        <v>1.4</v>
      </c>
      <c r="U49" s="252">
        <v>375.02028434857215</v>
      </c>
      <c r="V49" s="251">
        <v>10004</v>
      </c>
      <c r="W49" s="251">
        <v>12060</v>
      </c>
      <c r="X49" s="252">
        <v>46.7</v>
      </c>
      <c r="Y49" s="251">
        <v>8200</v>
      </c>
      <c r="Z49" s="251">
        <v>586</v>
      </c>
      <c r="AA49" s="251">
        <v>175</v>
      </c>
    </row>
    <row r="50" spans="1:27" ht="12">
      <c r="A50" s="240">
        <v>47</v>
      </c>
      <c r="B50" s="241" t="s">
        <v>223</v>
      </c>
      <c r="C50" s="250">
        <v>3.994</v>
      </c>
      <c r="D50" s="251">
        <v>24304.95743615423</v>
      </c>
      <c r="E50" s="252">
        <v>96.969</v>
      </c>
      <c r="F50" s="251">
        <v>270.53</v>
      </c>
      <c r="G50" s="253">
        <v>1.02</v>
      </c>
      <c r="H50" s="254">
        <v>85.9</v>
      </c>
      <c r="I50" s="253">
        <v>33.65</v>
      </c>
      <c r="J50" s="259">
        <v>5.85</v>
      </c>
      <c r="K50" s="260">
        <v>1481.5</v>
      </c>
      <c r="L50" s="261">
        <v>2.68</v>
      </c>
      <c r="M50" s="257">
        <v>0.49925037481259366</v>
      </c>
      <c r="N50" s="258">
        <v>13.079513079513081</v>
      </c>
      <c r="O50" s="258">
        <v>0</v>
      </c>
      <c r="P50" s="258">
        <v>4.2</v>
      </c>
      <c r="Q50" s="252">
        <v>4.8</v>
      </c>
      <c r="R50" s="240">
        <v>27.4</v>
      </c>
      <c r="S50" s="240">
        <v>68</v>
      </c>
      <c r="T50" s="240">
        <v>2.4</v>
      </c>
      <c r="U50" s="252">
        <v>604.6169253880821</v>
      </c>
      <c r="V50" s="251">
        <v>1915</v>
      </c>
      <c r="W50" s="251">
        <v>2449</v>
      </c>
      <c r="X50" s="252">
        <v>41.4</v>
      </c>
      <c r="Y50" s="251">
        <v>1908</v>
      </c>
      <c r="Z50" s="251">
        <v>306</v>
      </c>
      <c r="AA50" s="251">
        <v>161</v>
      </c>
    </row>
    <row r="51" spans="1:27" ht="12">
      <c r="A51" s="240">
        <v>48</v>
      </c>
      <c r="B51" s="241" t="s">
        <v>224</v>
      </c>
      <c r="C51" s="250">
        <v>137.253</v>
      </c>
      <c r="D51" s="251">
        <v>1163.9089855959435</v>
      </c>
      <c r="E51" s="252">
        <v>71.326</v>
      </c>
      <c r="F51" s="251">
        <v>923.77</v>
      </c>
      <c r="G51" s="253">
        <v>2.37</v>
      </c>
      <c r="H51" s="254">
        <v>46.7</v>
      </c>
      <c r="I51" s="253">
        <v>18.63</v>
      </c>
      <c r="J51" s="259">
        <v>98.8</v>
      </c>
      <c r="K51" s="260">
        <v>25448.2</v>
      </c>
      <c r="L51" s="261">
        <v>4.81</v>
      </c>
      <c r="M51" s="257">
        <v>0.8621973929236498</v>
      </c>
      <c r="N51" s="258">
        <v>0</v>
      </c>
      <c r="O51" s="258">
        <v>43.88318863456985</v>
      </c>
      <c r="P51" s="263">
        <v>4.5</v>
      </c>
      <c r="Q51" s="252">
        <v>6.2</v>
      </c>
      <c r="R51" s="240">
        <v>30.5</v>
      </c>
      <c r="S51" s="240">
        <v>33.3</v>
      </c>
      <c r="T51" s="240">
        <v>16.5</v>
      </c>
      <c r="U51" s="252">
        <v>6.448529358192535</v>
      </c>
      <c r="V51" s="251">
        <v>702</v>
      </c>
      <c r="W51" s="251">
        <v>1607.9</v>
      </c>
      <c r="X51" s="252">
        <v>0.7</v>
      </c>
      <c r="Y51" s="251">
        <v>420</v>
      </c>
      <c r="Z51" s="251">
        <v>4722</v>
      </c>
      <c r="AA51" s="251">
        <v>2230</v>
      </c>
    </row>
    <row r="52" spans="1:27" ht="12">
      <c r="A52" s="240">
        <v>49</v>
      </c>
      <c r="B52" s="241" t="s">
        <v>21</v>
      </c>
      <c r="C52" s="250">
        <v>4.575</v>
      </c>
      <c r="D52" s="251">
        <v>40167.2131147541</v>
      </c>
      <c r="E52" s="252">
        <v>250.444</v>
      </c>
      <c r="F52" s="251">
        <v>323.88</v>
      </c>
      <c r="G52" s="253">
        <v>0.4</v>
      </c>
      <c r="H52" s="254">
        <v>78.6</v>
      </c>
      <c r="I52" s="253">
        <v>38.17</v>
      </c>
      <c r="J52" s="250">
        <v>3.7</v>
      </c>
      <c r="K52" s="255">
        <v>1998</v>
      </c>
      <c r="L52" s="256">
        <v>2.28</v>
      </c>
      <c r="M52" s="257">
        <v>0.5290519877675841</v>
      </c>
      <c r="N52" s="258">
        <v>0.8407079646017699</v>
      </c>
      <c r="O52" s="258">
        <v>1.238938053097345</v>
      </c>
      <c r="P52" s="258">
        <v>4.3</v>
      </c>
      <c r="Q52" s="252">
        <v>3.3</v>
      </c>
      <c r="R52" s="240">
        <v>36.3</v>
      </c>
      <c r="S52" s="240">
        <v>61.6</v>
      </c>
      <c r="T52" s="240">
        <v>1</v>
      </c>
      <c r="U52" s="252">
        <v>415.23475409836067</v>
      </c>
      <c r="V52" s="251">
        <v>3176</v>
      </c>
      <c r="W52" s="251">
        <v>3911.1</v>
      </c>
      <c r="X52" s="252">
        <v>52.8</v>
      </c>
      <c r="Y52" s="251">
        <v>2288</v>
      </c>
      <c r="Z52" s="251">
        <v>242</v>
      </c>
      <c r="AA52" s="251">
        <v>199</v>
      </c>
    </row>
    <row r="53" spans="1:27" ht="12">
      <c r="A53" s="240">
        <v>50</v>
      </c>
      <c r="B53" s="241" t="s">
        <v>225</v>
      </c>
      <c r="C53" s="250">
        <v>2.903</v>
      </c>
      <c r="D53" s="251">
        <v>12821.90837065105</v>
      </c>
      <c r="E53" s="252">
        <v>24.593</v>
      </c>
      <c r="F53" s="251">
        <v>309.5</v>
      </c>
      <c r="G53" s="253">
        <v>3.32</v>
      </c>
      <c r="H53" s="254">
        <v>77.6</v>
      </c>
      <c r="I53" s="253">
        <v>19.13</v>
      </c>
      <c r="J53" s="259">
        <v>19.51</v>
      </c>
      <c r="K53" s="260">
        <v>831.9</v>
      </c>
      <c r="L53" s="261">
        <v>3.38</v>
      </c>
      <c r="M53" s="257">
        <v>0.8148820326678765</v>
      </c>
      <c r="N53" s="258">
        <v>0</v>
      </c>
      <c r="O53" s="258">
        <v>73.6</v>
      </c>
      <c r="P53" s="258">
        <v>15</v>
      </c>
      <c r="Q53" s="252">
        <v>1.2</v>
      </c>
      <c r="R53" s="240">
        <v>41.1</v>
      </c>
      <c r="S53" s="240">
        <v>55.8</v>
      </c>
      <c r="T53" s="240">
        <v>0.2</v>
      </c>
      <c r="U53" s="252">
        <v>134.34378229417842</v>
      </c>
      <c r="V53" s="251">
        <v>235.3</v>
      </c>
      <c r="W53" s="251">
        <v>464.9</v>
      </c>
      <c r="X53" s="252">
        <v>3.5</v>
      </c>
      <c r="Y53" s="251">
        <v>180</v>
      </c>
      <c r="Z53" s="251">
        <v>773</v>
      </c>
      <c r="AA53" s="251">
        <v>444</v>
      </c>
    </row>
    <row r="54" spans="1:27" ht="12">
      <c r="A54" s="240">
        <v>51</v>
      </c>
      <c r="B54" s="241" t="s">
        <v>226</v>
      </c>
      <c r="C54" s="264">
        <v>159.196</v>
      </c>
      <c r="D54" s="251">
        <v>2266.4702630719366</v>
      </c>
      <c r="E54" s="252">
        <v>82.612</v>
      </c>
      <c r="F54" s="251">
        <v>796.1</v>
      </c>
      <c r="G54" s="253">
        <v>2.03</v>
      </c>
      <c r="H54" s="254">
        <v>34.1</v>
      </c>
      <c r="I54" s="253">
        <v>19.58</v>
      </c>
      <c r="J54" s="259">
        <v>72.44</v>
      </c>
      <c r="K54" s="260">
        <v>21069.2</v>
      </c>
      <c r="L54" s="261">
        <v>7.2</v>
      </c>
      <c r="M54" s="257">
        <v>0.7939068100358424</v>
      </c>
      <c r="N54" s="258">
        <v>0</v>
      </c>
      <c r="O54" s="258">
        <v>78.79269810537961</v>
      </c>
      <c r="P54" s="258">
        <v>8.3</v>
      </c>
      <c r="Q54" s="252">
        <v>6.1</v>
      </c>
      <c r="R54" s="240">
        <v>24.1</v>
      </c>
      <c r="S54" s="240">
        <v>53.3</v>
      </c>
      <c r="T54" s="240">
        <v>4.8</v>
      </c>
      <c r="U54" s="252">
        <v>7.4118382371416365</v>
      </c>
      <c r="V54" s="251">
        <v>3655</v>
      </c>
      <c r="W54" s="251">
        <v>1238.6</v>
      </c>
      <c r="X54" s="252">
        <v>0.45</v>
      </c>
      <c r="Y54" s="251">
        <v>1500</v>
      </c>
      <c r="Z54" s="251">
        <v>1516</v>
      </c>
      <c r="AA54" s="251">
        <v>1490</v>
      </c>
    </row>
    <row r="55" spans="1:27" ht="12">
      <c r="A55" s="240">
        <v>52</v>
      </c>
      <c r="B55" s="241" t="s">
        <v>227</v>
      </c>
      <c r="C55" s="250">
        <v>27.544</v>
      </c>
      <c r="D55" s="251">
        <v>5556.709265175718</v>
      </c>
      <c r="E55" s="252">
        <v>67.857</v>
      </c>
      <c r="F55" s="251">
        <v>1285.22</v>
      </c>
      <c r="G55" s="253">
        <v>1.36</v>
      </c>
      <c r="H55" s="254">
        <v>73.9</v>
      </c>
      <c r="I55" s="253">
        <v>24.95</v>
      </c>
      <c r="J55" s="259">
        <v>31.94</v>
      </c>
      <c r="K55" s="260">
        <v>5665.9</v>
      </c>
      <c r="L55" s="261">
        <v>4.76</v>
      </c>
      <c r="M55" s="257">
        <v>0.5923566878980893</v>
      </c>
      <c r="N55" s="258">
        <v>88.80797240321962</v>
      </c>
      <c r="O55" s="258">
        <v>0</v>
      </c>
      <c r="P55" s="258">
        <v>9.6</v>
      </c>
      <c r="Q55" s="252">
        <v>4.5</v>
      </c>
      <c r="R55" s="240">
        <v>27</v>
      </c>
      <c r="S55" s="240">
        <v>65</v>
      </c>
      <c r="T55" s="240">
        <v>3.8</v>
      </c>
      <c r="U55" s="252">
        <v>28.748983444670344</v>
      </c>
      <c r="V55" s="251">
        <v>2022.3</v>
      </c>
      <c r="W55" s="251">
        <v>2306.9</v>
      </c>
      <c r="X55" s="252">
        <v>4.8</v>
      </c>
      <c r="Y55" s="251">
        <v>2500</v>
      </c>
      <c r="Z55" s="251">
        <v>1075</v>
      </c>
      <c r="AA55" s="251">
        <v>680</v>
      </c>
    </row>
    <row r="56" spans="1:27" ht="12">
      <c r="A56" s="240">
        <v>53</v>
      </c>
      <c r="B56" s="241" t="s">
        <v>228</v>
      </c>
      <c r="C56" s="250">
        <v>86.242</v>
      </c>
      <c r="D56" s="251">
        <v>4441.432248788293</v>
      </c>
      <c r="E56" s="252">
        <v>85.136</v>
      </c>
      <c r="F56" s="251">
        <v>300</v>
      </c>
      <c r="G56" s="253">
        <v>1.84</v>
      </c>
      <c r="H56" s="254">
        <v>61</v>
      </c>
      <c r="I56" s="253">
        <v>22.27</v>
      </c>
      <c r="J56" s="259">
        <v>23.51</v>
      </c>
      <c r="K56" s="260">
        <v>16391.5</v>
      </c>
      <c r="L56" s="261">
        <v>4.95</v>
      </c>
      <c r="M56" s="257">
        <v>0.6594684385382059</v>
      </c>
      <c r="N56" s="258">
        <v>82.9265108993604</v>
      </c>
      <c r="O56" s="258">
        <v>4.5685941783057045</v>
      </c>
      <c r="P56" s="258">
        <v>11.7</v>
      </c>
      <c r="Q56" s="252">
        <v>5.9</v>
      </c>
      <c r="R56" s="240">
        <v>31.9</v>
      </c>
      <c r="S56" s="240">
        <v>53.2</v>
      </c>
      <c r="T56" s="240">
        <v>5.5</v>
      </c>
      <c r="U56" s="252">
        <v>27.850699195287678</v>
      </c>
      <c r="V56" s="251">
        <v>3315</v>
      </c>
      <c r="W56" s="251">
        <v>15201</v>
      </c>
      <c r="X56" s="252">
        <v>2.8</v>
      </c>
      <c r="Y56" s="251">
        <v>3500</v>
      </c>
      <c r="Z56" s="251">
        <v>1923</v>
      </c>
      <c r="AA56" s="251">
        <v>985</v>
      </c>
    </row>
    <row r="57" spans="1:27" ht="12">
      <c r="A57" s="240">
        <v>54</v>
      </c>
      <c r="B57" s="241" t="s">
        <v>22</v>
      </c>
      <c r="C57" s="250">
        <v>38.626</v>
      </c>
      <c r="D57" s="251">
        <v>12308.470978097655</v>
      </c>
      <c r="E57" s="252">
        <v>241.766</v>
      </c>
      <c r="F57" s="251">
        <v>312.69</v>
      </c>
      <c r="G57" s="253">
        <v>0.03</v>
      </c>
      <c r="H57" s="254">
        <v>61.9</v>
      </c>
      <c r="I57" s="253">
        <v>36.43</v>
      </c>
      <c r="J57" s="259">
        <v>8.51</v>
      </c>
      <c r="K57" s="255">
        <v>13425.9</v>
      </c>
      <c r="L57" s="256">
        <v>2.88</v>
      </c>
      <c r="M57" s="257">
        <v>0.42857142857142855</v>
      </c>
      <c r="N57" s="258">
        <v>90.6856403622251</v>
      </c>
      <c r="O57" s="258">
        <v>0</v>
      </c>
      <c r="P57" s="258">
        <v>19.5</v>
      </c>
      <c r="Q57" s="252">
        <v>5.6</v>
      </c>
      <c r="R57" s="240">
        <v>31.3</v>
      </c>
      <c r="S57" s="240">
        <v>65.9</v>
      </c>
      <c r="T57" s="240">
        <v>3.4</v>
      </c>
      <c r="U57" s="252">
        <v>271.9178791487599</v>
      </c>
      <c r="V57" s="251">
        <v>11871.9</v>
      </c>
      <c r="W57" s="251">
        <v>13898.5</v>
      </c>
      <c r="X57" s="252">
        <v>10.6</v>
      </c>
      <c r="Y57" s="251">
        <v>8880</v>
      </c>
      <c r="Z57" s="251">
        <v>446</v>
      </c>
      <c r="AA57" s="251">
        <v>205</v>
      </c>
    </row>
    <row r="58" spans="1:27" ht="12">
      <c r="A58" s="240">
        <v>55</v>
      </c>
      <c r="B58" s="241" t="s">
        <v>229</v>
      </c>
      <c r="C58" s="250">
        <v>10.524</v>
      </c>
      <c r="D58" s="251">
        <v>18475.769669327252</v>
      </c>
      <c r="E58" s="252">
        <v>167.236</v>
      </c>
      <c r="F58" s="251">
        <v>91.98</v>
      </c>
      <c r="G58" s="253">
        <v>0.39</v>
      </c>
      <c r="H58" s="254">
        <v>54.6</v>
      </c>
      <c r="I58" s="253">
        <v>38.2</v>
      </c>
      <c r="J58" s="250">
        <v>5.05</v>
      </c>
      <c r="K58" s="255">
        <v>3757.9</v>
      </c>
      <c r="L58" s="256">
        <v>2.77</v>
      </c>
      <c r="M58" s="257">
        <v>0.506024096385542</v>
      </c>
      <c r="N58" s="258">
        <v>92.15876089060987</v>
      </c>
      <c r="O58" s="258">
        <v>0.1</v>
      </c>
      <c r="P58" s="258">
        <v>6.5</v>
      </c>
      <c r="Q58" s="252">
        <v>1.1</v>
      </c>
      <c r="R58" s="240">
        <v>30.2</v>
      </c>
      <c r="S58" s="240">
        <v>63.9</v>
      </c>
      <c r="T58" s="240">
        <v>2.1</v>
      </c>
      <c r="U58" s="252">
        <v>419.66524135309766</v>
      </c>
      <c r="V58" s="251">
        <v>4382.9</v>
      </c>
      <c r="W58" s="251">
        <v>8530.4</v>
      </c>
      <c r="X58" s="252">
        <v>13.5</v>
      </c>
      <c r="Y58" s="251">
        <v>2000</v>
      </c>
      <c r="Z58" s="251">
        <v>320</v>
      </c>
      <c r="AA58" s="251">
        <v>250</v>
      </c>
    </row>
    <row r="59" spans="1:27" ht="12">
      <c r="A59" s="240">
        <v>56</v>
      </c>
      <c r="B59" s="241" t="s">
        <v>230</v>
      </c>
      <c r="C59" s="250">
        <v>0.84</v>
      </c>
      <c r="D59" s="251">
        <v>26044.04761904762</v>
      </c>
      <c r="E59" s="252">
        <v>28.451</v>
      </c>
      <c r="F59" s="251">
        <v>11</v>
      </c>
      <c r="G59" s="253">
        <v>2.61</v>
      </c>
      <c r="H59" s="254">
        <v>92</v>
      </c>
      <c r="I59" s="253">
        <v>31.57</v>
      </c>
      <c r="J59" s="259">
        <v>18.61</v>
      </c>
      <c r="K59" s="255">
        <v>154.9</v>
      </c>
      <c r="L59" s="256">
        <v>3.9</v>
      </c>
      <c r="M59" s="257">
        <v>0.37551581843191195</v>
      </c>
      <c r="N59" s="258">
        <v>0</v>
      </c>
      <c r="O59" s="258">
        <v>83.05084745762711</v>
      </c>
      <c r="P59" s="258">
        <v>2.7</v>
      </c>
      <c r="Q59" s="252">
        <v>8.7</v>
      </c>
      <c r="R59" s="240">
        <v>58.2</v>
      </c>
      <c r="S59" s="240">
        <v>41.5</v>
      </c>
      <c r="T59" s="240">
        <v>3</v>
      </c>
      <c r="U59" s="252">
        <v>273.9940476190476</v>
      </c>
      <c r="V59" s="251">
        <v>176.5</v>
      </c>
      <c r="W59" s="251">
        <v>267.2</v>
      </c>
      <c r="X59" s="252">
        <v>18</v>
      </c>
      <c r="Y59" s="251">
        <v>70</v>
      </c>
      <c r="Z59" s="251">
        <v>793</v>
      </c>
      <c r="AA59" s="251">
        <v>555</v>
      </c>
    </row>
    <row r="60" spans="1:27" ht="12">
      <c r="A60" s="240">
        <v>57</v>
      </c>
      <c r="B60" s="241" t="s">
        <v>231</v>
      </c>
      <c r="C60" s="250">
        <v>22.356</v>
      </c>
      <c r="D60" s="251">
        <v>7602.7017355519765</v>
      </c>
      <c r="E60" s="252">
        <v>71.323</v>
      </c>
      <c r="F60" s="251">
        <v>238.39</v>
      </c>
      <c r="G60" s="253">
        <v>-0.12</v>
      </c>
      <c r="H60" s="254">
        <v>54.5</v>
      </c>
      <c r="I60" s="253">
        <v>36.39</v>
      </c>
      <c r="J60" s="250">
        <v>26.43</v>
      </c>
      <c r="K60" s="255">
        <v>7458.9</v>
      </c>
      <c r="L60" s="256">
        <v>2.99</v>
      </c>
      <c r="M60" s="257">
        <v>0.44092219020172907</v>
      </c>
      <c r="N60" s="258">
        <v>5.087014725568943</v>
      </c>
      <c r="O60" s="258">
        <v>0</v>
      </c>
      <c r="P60" s="258">
        <v>6.3</v>
      </c>
      <c r="Q60" s="252">
        <v>8.1</v>
      </c>
      <c r="R60" s="240">
        <v>33.7</v>
      </c>
      <c r="S60" s="240">
        <v>53.2</v>
      </c>
      <c r="T60" s="240">
        <v>9.6</v>
      </c>
      <c r="U60" s="252">
        <v>144.27947754517803</v>
      </c>
      <c r="V60" s="251">
        <v>4359.8</v>
      </c>
      <c r="W60" s="251">
        <v>5099.1</v>
      </c>
      <c r="X60" s="252">
        <v>6.9</v>
      </c>
      <c r="Y60" s="251">
        <v>1800</v>
      </c>
      <c r="Z60" s="251">
        <v>543</v>
      </c>
      <c r="AA60" s="251">
        <v>130</v>
      </c>
    </row>
    <row r="61" spans="1:27" ht="12">
      <c r="A61" s="240">
        <v>58</v>
      </c>
      <c r="B61" s="242" t="s">
        <v>23</v>
      </c>
      <c r="C61" s="250">
        <v>143.782</v>
      </c>
      <c r="D61" s="251">
        <v>10078.938949242603</v>
      </c>
      <c r="E61" s="252">
        <v>582.731</v>
      </c>
      <c r="F61" s="251">
        <v>17075.4</v>
      </c>
      <c r="G61" s="253">
        <v>-0.37</v>
      </c>
      <c r="H61" s="254">
        <v>73.3</v>
      </c>
      <c r="I61" s="253">
        <v>38.15</v>
      </c>
      <c r="J61" s="259">
        <v>15.39</v>
      </c>
      <c r="K61" s="260">
        <v>52663.4</v>
      </c>
      <c r="L61" s="261">
        <v>2.72</v>
      </c>
      <c r="M61" s="257">
        <v>0.40252454417952316</v>
      </c>
      <c r="N61" s="258">
        <v>0.22156061760022155</v>
      </c>
      <c r="O61" s="258">
        <v>7.6022986914076025</v>
      </c>
      <c r="P61" s="258">
        <v>8.3</v>
      </c>
      <c r="Q61" s="252">
        <v>6.7</v>
      </c>
      <c r="R61" s="240">
        <v>33.9</v>
      </c>
      <c r="S61" s="240">
        <v>61.2</v>
      </c>
      <c r="T61" s="240">
        <v>11.5</v>
      </c>
      <c r="U61" s="252">
        <v>155.390104463702</v>
      </c>
      <c r="V61" s="251">
        <v>35500</v>
      </c>
      <c r="W61" s="251">
        <v>17608.8</v>
      </c>
      <c r="X61" s="252">
        <v>8.9</v>
      </c>
      <c r="Y61" s="251">
        <v>6000</v>
      </c>
      <c r="Z61" s="251">
        <v>212</v>
      </c>
      <c r="AA61" s="251">
        <v>87</v>
      </c>
    </row>
    <row r="62" spans="1:27" ht="12">
      <c r="A62" s="240">
        <v>59</v>
      </c>
      <c r="B62" s="241" t="s">
        <v>232</v>
      </c>
      <c r="C62" s="250">
        <v>25.796</v>
      </c>
      <c r="D62" s="251">
        <v>12265.738874244069</v>
      </c>
      <c r="E62" s="252">
        <v>248.813</v>
      </c>
      <c r="F62" s="251">
        <v>2149.69</v>
      </c>
      <c r="G62" s="253">
        <v>2.31</v>
      </c>
      <c r="H62" s="254">
        <v>87.7</v>
      </c>
      <c r="I62" s="253">
        <v>21.28</v>
      </c>
      <c r="J62" s="259">
        <v>13.24</v>
      </c>
      <c r="K62" s="260">
        <v>3860</v>
      </c>
      <c r="L62" s="261">
        <v>5.94</v>
      </c>
      <c r="M62" s="257">
        <v>0.684654300168634</v>
      </c>
      <c r="N62" s="258">
        <v>0</v>
      </c>
      <c r="O62" s="258">
        <v>90.06593406593406</v>
      </c>
      <c r="P62" s="258">
        <v>25</v>
      </c>
      <c r="Q62" s="252">
        <v>5</v>
      </c>
      <c r="R62" s="240">
        <v>67.2</v>
      </c>
      <c r="S62" s="240">
        <v>28.6</v>
      </c>
      <c r="T62" s="240">
        <v>0.8</v>
      </c>
      <c r="U62" s="252">
        <v>67.60738098930067</v>
      </c>
      <c r="V62" s="251">
        <v>3317.5</v>
      </c>
      <c r="W62" s="251">
        <v>5008</v>
      </c>
      <c r="X62" s="252">
        <v>13</v>
      </c>
      <c r="Y62" s="251">
        <v>1419</v>
      </c>
      <c r="Z62" s="251">
        <v>709</v>
      </c>
      <c r="AA62" s="251">
        <v>484</v>
      </c>
    </row>
    <row r="63" spans="1:27" ht="12">
      <c r="A63" s="240">
        <v>60</v>
      </c>
      <c r="B63" s="242" t="s">
        <v>233</v>
      </c>
      <c r="C63" s="250">
        <v>10.826</v>
      </c>
      <c r="D63" s="251">
        <v>3743.210788841677</v>
      </c>
      <c r="E63" s="252">
        <v>24.133</v>
      </c>
      <c r="F63" s="251">
        <v>102.17</v>
      </c>
      <c r="G63" s="253">
        <v>0.03</v>
      </c>
      <c r="H63" s="254">
        <v>52</v>
      </c>
      <c r="I63" s="253">
        <v>36.79</v>
      </c>
      <c r="J63" s="259">
        <v>12.89</v>
      </c>
      <c r="K63" s="260">
        <v>3273.6</v>
      </c>
      <c r="L63" s="261">
        <v>3.22</v>
      </c>
      <c r="M63" s="257">
        <v>0.4970059880239522</v>
      </c>
      <c r="N63" s="258">
        <v>5.805243445692884</v>
      </c>
      <c r="O63" s="258">
        <v>19.00749063670412</v>
      </c>
      <c r="P63" s="258">
        <v>30</v>
      </c>
      <c r="Q63" s="252">
        <v>6.5</v>
      </c>
      <c r="R63" s="240">
        <v>27.6</v>
      </c>
      <c r="S63" s="240">
        <v>56.8</v>
      </c>
      <c r="T63" s="240">
        <v>8.8</v>
      </c>
      <c r="U63" s="252">
        <v>163.501755034177</v>
      </c>
      <c r="V63" s="251">
        <v>2493</v>
      </c>
      <c r="W63" s="251">
        <v>2750.4</v>
      </c>
      <c r="X63" s="252">
        <v>2.7</v>
      </c>
      <c r="Y63" s="251">
        <v>640</v>
      </c>
      <c r="Z63" s="251">
        <v>394</v>
      </c>
      <c r="AA63" s="251">
        <v>187</v>
      </c>
    </row>
    <row r="64" spans="1:27" ht="12">
      <c r="A64" s="240">
        <v>61</v>
      </c>
      <c r="B64" s="241" t="s">
        <v>234</v>
      </c>
      <c r="C64" s="250">
        <v>4.354</v>
      </c>
      <c r="D64" s="251">
        <v>26575.792374827743</v>
      </c>
      <c r="E64" s="252">
        <v>106.822</v>
      </c>
      <c r="F64" s="251">
        <v>0.62</v>
      </c>
      <c r="G64" s="253">
        <v>1.56</v>
      </c>
      <c r="H64" s="254">
        <v>100</v>
      </c>
      <c r="I64" s="253">
        <v>36.76</v>
      </c>
      <c r="J64" s="259">
        <v>2.29</v>
      </c>
      <c r="K64" s="260">
        <v>988.8</v>
      </c>
      <c r="L64" s="261">
        <v>3.47</v>
      </c>
      <c r="M64" s="257">
        <v>0.32058047493403696</v>
      </c>
      <c r="N64" s="258">
        <v>0</v>
      </c>
      <c r="O64" s="258">
        <v>14.90066225165563</v>
      </c>
      <c r="P64" s="258">
        <v>3.4</v>
      </c>
      <c r="Q64" s="252">
        <v>8.1</v>
      </c>
      <c r="R64" s="240">
        <v>32.6</v>
      </c>
      <c r="S64" s="240">
        <v>67.4</v>
      </c>
      <c r="T64" s="240">
        <v>1.7</v>
      </c>
      <c r="U64" s="252">
        <v>93.10151584749656</v>
      </c>
      <c r="V64" s="251">
        <v>1948.5</v>
      </c>
      <c r="W64" s="251">
        <v>3312.6</v>
      </c>
      <c r="X64" s="252">
        <v>62.2</v>
      </c>
      <c r="Y64" s="251">
        <v>2100</v>
      </c>
      <c r="Z64" s="251">
        <v>585</v>
      </c>
      <c r="AA64" s="251">
        <v>277</v>
      </c>
    </row>
    <row r="65" spans="1:27" ht="12">
      <c r="A65" s="240">
        <v>62</v>
      </c>
      <c r="B65" s="241" t="s">
        <v>24</v>
      </c>
      <c r="C65" s="250">
        <v>5.424</v>
      </c>
      <c r="D65" s="251">
        <v>15012.536873156341</v>
      </c>
      <c r="E65" s="252">
        <v>41.091</v>
      </c>
      <c r="F65" s="251">
        <v>49.01</v>
      </c>
      <c r="G65" s="253">
        <v>0.15</v>
      </c>
      <c r="H65" s="254">
        <v>57.4</v>
      </c>
      <c r="I65" s="253">
        <v>35.43</v>
      </c>
      <c r="J65" s="259">
        <v>7.41</v>
      </c>
      <c r="K65" s="255">
        <v>2110.7</v>
      </c>
      <c r="L65" s="256">
        <v>2.55</v>
      </c>
      <c r="M65" s="257">
        <v>0.4124293785310735</v>
      </c>
      <c r="N65" s="258">
        <v>60.44362292051756</v>
      </c>
      <c r="O65" s="258">
        <v>0</v>
      </c>
      <c r="P65" s="258">
        <v>13.1</v>
      </c>
      <c r="Q65" s="252">
        <v>5.3</v>
      </c>
      <c r="R65" s="240">
        <v>30.1</v>
      </c>
      <c r="S65" s="240">
        <v>66.4</v>
      </c>
      <c r="T65" s="240">
        <v>7.5</v>
      </c>
      <c r="U65" s="252">
        <v>244.63329646017698</v>
      </c>
      <c r="V65" s="251">
        <v>1698</v>
      </c>
      <c r="W65" s="251">
        <v>2923.4</v>
      </c>
      <c r="X65" s="252">
        <v>24.16</v>
      </c>
      <c r="Y65" s="251">
        <v>863</v>
      </c>
      <c r="Z65" s="251">
        <v>263</v>
      </c>
      <c r="AA65" s="251">
        <v>98</v>
      </c>
    </row>
    <row r="66" spans="1:27" ht="12">
      <c r="A66" s="240">
        <v>63</v>
      </c>
      <c r="B66" s="241" t="s">
        <v>25</v>
      </c>
      <c r="C66" s="250">
        <v>2.011</v>
      </c>
      <c r="D66" s="251">
        <v>20134.261561412233</v>
      </c>
      <c r="E66" s="252">
        <v>32.794</v>
      </c>
      <c r="F66" s="251">
        <v>20.25</v>
      </c>
      <c r="G66" s="253">
        <v>-0.03</v>
      </c>
      <c r="H66" s="254">
        <v>50.8</v>
      </c>
      <c r="I66" s="253">
        <v>40.23</v>
      </c>
      <c r="J66" s="259">
        <v>4.45</v>
      </c>
      <c r="K66" s="255">
        <v>689.5</v>
      </c>
      <c r="L66" s="256">
        <v>2.9</v>
      </c>
      <c r="M66" s="257">
        <v>0.4164305949008499</v>
      </c>
      <c r="N66" s="258">
        <v>82.91457286432161</v>
      </c>
      <c r="O66" s="258">
        <v>1.5</v>
      </c>
      <c r="P66" s="258">
        <v>6.4</v>
      </c>
      <c r="Q66" s="252">
        <v>3.9</v>
      </c>
      <c r="R66" s="240">
        <v>36</v>
      </c>
      <c r="S66" s="240">
        <v>60</v>
      </c>
      <c r="T66" s="240">
        <v>3.3</v>
      </c>
      <c r="U66" s="252">
        <v>434.5907508702138</v>
      </c>
      <c r="V66" s="251">
        <v>811.5</v>
      </c>
      <c r="W66" s="251">
        <v>1539.2</v>
      </c>
      <c r="X66" s="252">
        <v>30.1</v>
      </c>
      <c r="Y66" s="251">
        <v>750</v>
      </c>
      <c r="Z66" s="251">
        <v>436</v>
      </c>
      <c r="AA66" s="251">
        <v>182</v>
      </c>
    </row>
    <row r="67" spans="1:27" ht="12">
      <c r="A67" s="240">
        <v>64</v>
      </c>
      <c r="B67" s="241" t="s">
        <v>235</v>
      </c>
      <c r="C67" s="250">
        <v>42.719</v>
      </c>
      <c r="D67" s="251">
        <v>11743.416278470937</v>
      </c>
      <c r="E67" s="252">
        <v>212.898</v>
      </c>
      <c r="F67" s="251">
        <v>1221.04</v>
      </c>
      <c r="G67" s="253">
        <v>-0.31</v>
      </c>
      <c r="H67" s="254">
        <v>56.9</v>
      </c>
      <c r="I67" s="253">
        <v>23.98</v>
      </c>
      <c r="J67" s="259">
        <v>61.81</v>
      </c>
      <c r="K67" s="260">
        <v>11917.5</v>
      </c>
      <c r="L67" s="261">
        <v>3.9</v>
      </c>
      <c r="M67" s="257">
        <v>0.5313935681470139</v>
      </c>
      <c r="N67" s="258">
        <v>7.088781830695114</v>
      </c>
      <c r="O67" s="258">
        <v>2.4</v>
      </c>
      <c r="P67" s="258">
        <v>26.2</v>
      </c>
      <c r="Q67" s="252">
        <v>3.5</v>
      </c>
      <c r="R67" s="240">
        <v>31.2</v>
      </c>
      <c r="S67" s="240">
        <v>65.2</v>
      </c>
      <c r="T67" s="240">
        <v>4.5</v>
      </c>
      <c r="U67" s="252">
        <v>97.44921463517404</v>
      </c>
      <c r="V67" s="251">
        <v>5492.8</v>
      </c>
      <c r="W67" s="251">
        <v>13814</v>
      </c>
      <c r="X67" s="252">
        <v>7.3</v>
      </c>
      <c r="Y67" s="251">
        <v>3100</v>
      </c>
      <c r="Z67" s="251">
        <v>1453</v>
      </c>
      <c r="AA67" s="251">
        <v>290</v>
      </c>
    </row>
    <row r="68" spans="1:27" ht="12">
      <c r="A68" s="240">
        <v>65</v>
      </c>
      <c r="B68" s="241" t="s">
        <v>26</v>
      </c>
      <c r="C68" s="250">
        <v>40.281</v>
      </c>
      <c r="D68" s="251">
        <v>24123.63148879124</v>
      </c>
      <c r="E68" s="252">
        <v>992.992</v>
      </c>
      <c r="F68" s="251">
        <v>505.99</v>
      </c>
      <c r="G68" s="253">
        <v>0.15</v>
      </c>
      <c r="H68" s="254">
        <v>76.5</v>
      </c>
      <c r="I68" s="253">
        <v>39.51</v>
      </c>
      <c r="J68" s="259">
        <v>4.42</v>
      </c>
      <c r="K68" s="255">
        <v>14815.6</v>
      </c>
      <c r="L68" s="256">
        <v>2.74</v>
      </c>
      <c r="M68" s="257">
        <v>0.47058823529411764</v>
      </c>
      <c r="N68" s="258">
        <v>92.00099676052828</v>
      </c>
      <c r="O68" s="258">
        <v>0.49838026414153996</v>
      </c>
      <c r="P68" s="258">
        <v>10.4</v>
      </c>
      <c r="Q68" s="252">
        <v>2.6</v>
      </c>
      <c r="R68" s="240">
        <v>28.5</v>
      </c>
      <c r="S68" s="240">
        <v>68</v>
      </c>
      <c r="T68" s="240">
        <v>3.2</v>
      </c>
      <c r="U68" s="252">
        <v>450.6064894118815</v>
      </c>
      <c r="V68" s="251">
        <v>17640.7</v>
      </c>
      <c r="W68" s="251">
        <v>33531</v>
      </c>
      <c r="X68" s="252">
        <v>19.6</v>
      </c>
      <c r="Y68" s="251">
        <v>6359</v>
      </c>
      <c r="Z68" s="251">
        <v>227</v>
      </c>
      <c r="AA68" s="251">
        <v>246</v>
      </c>
    </row>
    <row r="69" spans="1:27" ht="12">
      <c r="A69" s="240">
        <v>66</v>
      </c>
      <c r="B69" s="241" t="s">
        <v>236</v>
      </c>
      <c r="C69" s="250">
        <v>19.905</v>
      </c>
      <c r="D69" s="251">
        <v>3969.8568198944986</v>
      </c>
      <c r="E69" s="252">
        <v>20.133</v>
      </c>
      <c r="F69" s="251">
        <v>65.61</v>
      </c>
      <c r="G69" s="253">
        <v>0.79</v>
      </c>
      <c r="H69" s="254">
        <v>21</v>
      </c>
      <c r="I69" s="253">
        <v>29.44</v>
      </c>
      <c r="J69" s="259">
        <v>14.35</v>
      </c>
      <c r="K69" s="260">
        <v>3510</v>
      </c>
      <c r="L69" s="261">
        <v>5.41</v>
      </c>
      <c r="M69" s="257">
        <v>0.4662756598240469</v>
      </c>
      <c r="N69" s="258">
        <v>6.697578567748582</v>
      </c>
      <c r="O69" s="258">
        <v>9.015971148892325</v>
      </c>
      <c r="P69" s="258">
        <v>7.8</v>
      </c>
      <c r="Q69" s="252">
        <v>5.2</v>
      </c>
      <c r="R69" s="240">
        <v>26.2</v>
      </c>
      <c r="S69" s="240">
        <v>54.7</v>
      </c>
      <c r="T69" s="240">
        <v>5.8</v>
      </c>
      <c r="U69" s="252">
        <v>12.732830946998241</v>
      </c>
      <c r="V69" s="251">
        <v>883.1</v>
      </c>
      <c r="W69" s="251">
        <v>931.6</v>
      </c>
      <c r="X69" s="252">
        <v>1.3</v>
      </c>
      <c r="Y69" s="251">
        <v>200</v>
      </c>
      <c r="Z69" s="251">
        <v>2740</v>
      </c>
      <c r="AA69" s="251">
        <v>355</v>
      </c>
    </row>
    <row r="70" spans="1:27" ht="12">
      <c r="A70" s="240">
        <v>67</v>
      </c>
      <c r="B70" s="241" t="s">
        <v>237</v>
      </c>
      <c r="C70" s="250">
        <v>39.148</v>
      </c>
      <c r="D70" s="251">
        <v>1976.8059670992131</v>
      </c>
      <c r="E70" s="252">
        <v>21.27</v>
      </c>
      <c r="F70" s="251">
        <v>2505.81</v>
      </c>
      <c r="G70" s="253">
        <v>2.6</v>
      </c>
      <c r="H70" s="254">
        <v>38.9</v>
      </c>
      <c r="I70" s="253">
        <v>18.07</v>
      </c>
      <c r="J70" s="259">
        <v>62.5</v>
      </c>
      <c r="K70" s="260">
        <v>5447.8</v>
      </c>
      <c r="L70" s="261">
        <v>6.1</v>
      </c>
      <c r="M70" s="257">
        <v>0.8502772643253235</v>
      </c>
      <c r="N70" s="258">
        <v>0</v>
      </c>
      <c r="O70" s="258">
        <v>70.30773495980038</v>
      </c>
      <c r="P70" s="258">
        <v>18.7</v>
      </c>
      <c r="Q70" s="252">
        <v>6.4</v>
      </c>
      <c r="R70" s="240">
        <v>20.3</v>
      </c>
      <c r="S70" s="240">
        <v>41</v>
      </c>
      <c r="T70" s="240">
        <v>9</v>
      </c>
      <c r="U70" s="252">
        <v>1.1750280984980075</v>
      </c>
      <c r="V70" s="251">
        <v>671.8</v>
      </c>
      <c r="W70" s="251">
        <v>190.8</v>
      </c>
      <c r="X70" s="252">
        <v>0.6</v>
      </c>
      <c r="Y70" s="251">
        <v>84</v>
      </c>
      <c r="Z70" s="251">
        <v>9395</v>
      </c>
      <c r="AA70" s="251">
        <v>1420</v>
      </c>
    </row>
    <row r="71" spans="1:27" ht="12">
      <c r="A71" s="240">
        <v>68</v>
      </c>
      <c r="B71" s="241" t="s">
        <v>27</v>
      </c>
      <c r="C71" s="250">
        <v>8.986</v>
      </c>
      <c r="D71" s="251">
        <v>28289.11640329401</v>
      </c>
      <c r="E71" s="252">
        <v>346.531</v>
      </c>
      <c r="F71" s="251">
        <v>449.96</v>
      </c>
      <c r="G71" s="253">
        <v>0.17</v>
      </c>
      <c r="H71" s="254">
        <v>83.4</v>
      </c>
      <c r="I71" s="253">
        <v>40.6</v>
      </c>
      <c r="J71" s="259">
        <v>2.77</v>
      </c>
      <c r="K71" s="255">
        <v>4175.3</v>
      </c>
      <c r="L71" s="256">
        <v>2.14</v>
      </c>
      <c r="M71" s="257">
        <v>0.5337423312883435</v>
      </c>
      <c r="N71" s="258">
        <v>1.777277840269966</v>
      </c>
      <c r="O71" s="258">
        <v>2.81214848143982</v>
      </c>
      <c r="P71" s="258">
        <v>5.6</v>
      </c>
      <c r="Q71" s="252">
        <v>3.6</v>
      </c>
      <c r="R71" s="240">
        <v>29</v>
      </c>
      <c r="S71" s="240">
        <v>69</v>
      </c>
      <c r="T71" s="240">
        <v>0.7</v>
      </c>
      <c r="U71" s="252">
        <v>450.1366570220343</v>
      </c>
      <c r="V71" s="251">
        <v>6519</v>
      </c>
      <c r="W71" s="251">
        <v>7949</v>
      </c>
      <c r="X71" s="252">
        <v>62.1</v>
      </c>
      <c r="Y71" s="251">
        <v>5125</v>
      </c>
      <c r="Z71" s="251">
        <v>354</v>
      </c>
      <c r="AA71" s="251">
        <v>306</v>
      </c>
    </row>
    <row r="72" spans="1:27" ht="12">
      <c r="A72" s="240">
        <v>69</v>
      </c>
      <c r="B72" s="241" t="s">
        <v>28</v>
      </c>
      <c r="C72" s="250">
        <v>7.451</v>
      </c>
      <c r="D72" s="251">
        <v>30881.89504764461</v>
      </c>
      <c r="E72" s="252">
        <v>358.004</v>
      </c>
      <c r="F72" s="251">
        <v>41.29</v>
      </c>
      <c r="G72" s="253">
        <v>0.49</v>
      </c>
      <c r="H72" s="254">
        <v>67.5</v>
      </c>
      <c r="I72" s="253">
        <v>39.77</v>
      </c>
      <c r="J72" s="250">
        <v>4.39</v>
      </c>
      <c r="K72" s="255">
        <v>3270.4</v>
      </c>
      <c r="L72" s="256">
        <v>2.23</v>
      </c>
      <c r="M72" s="257">
        <v>0.4727540500736377</v>
      </c>
      <c r="N72" s="258">
        <v>46.121883656509695</v>
      </c>
      <c r="O72" s="258">
        <v>2.2</v>
      </c>
      <c r="P72" s="258">
        <v>3.4</v>
      </c>
      <c r="Q72" s="252">
        <v>1.8</v>
      </c>
      <c r="R72" s="240">
        <v>34</v>
      </c>
      <c r="S72" s="240">
        <v>64.5</v>
      </c>
      <c r="T72" s="240">
        <v>0.9</v>
      </c>
      <c r="U72" s="252">
        <v>496.70527445980406</v>
      </c>
      <c r="V72" s="251">
        <v>5387.6</v>
      </c>
      <c r="W72" s="251">
        <v>5736.3</v>
      </c>
      <c r="X72" s="252">
        <v>70.9</v>
      </c>
      <c r="Y72" s="251">
        <v>2556</v>
      </c>
      <c r="Z72" s="251">
        <v>256</v>
      </c>
      <c r="AA72" s="251">
        <v>155</v>
      </c>
    </row>
    <row r="73" spans="1:27" ht="12">
      <c r="A73" s="240">
        <v>70</v>
      </c>
      <c r="B73" s="241" t="s">
        <v>238</v>
      </c>
      <c r="C73" s="250">
        <v>18.017</v>
      </c>
      <c r="D73" s="251">
        <v>3752.3450074929233</v>
      </c>
      <c r="E73" s="252">
        <v>23.745</v>
      </c>
      <c r="F73" s="251">
        <v>185.18</v>
      </c>
      <c r="G73" s="253">
        <v>2.34</v>
      </c>
      <c r="H73" s="254">
        <v>50.1</v>
      </c>
      <c r="I73" s="253">
        <v>20.37</v>
      </c>
      <c r="J73" s="250">
        <v>29.53</v>
      </c>
      <c r="K73" s="255">
        <v>3586</v>
      </c>
      <c r="L73" s="256">
        <v>4.91</v>
      </c>
      <c r="M73" s="257">
        <v>0.7035775127768312</v>
      </c>
      <c r="N73" s="258">
        <v>0</v>
      </c>
      <c r="O73" s="258">
        <v>73.99880454273759</v>
      </c>
      <c r="P73" s="258">
        <v>20</v>
      </c>
      <c r="Q73" s="252">
        <v>2.3</v>
      </c>
      <c r="R73" s="240">
        <v>31</v>
      </c>
      <c r="S73" s="240">
        <v>44</v>
      </c>
      <c r="T73" s="240">
        <v>2.1</v>
      </c>
      <c r="U73" s="252">
        <v>10.04701115613032</v>
      </c>
      <c r="V73" s="251">
        <v>2099.3</v>
      </c>
      <c r="W73" s="251">
        <v>400</v>
      </c>
      <c r="X73" s="252">
        <v>1.9</v>
      </c>
      <c r="Y73" s="251">
        <v>220</v>
      </c>
      <c r="Z73" s="251">
        <v>746</v>
      </c>
      <c r="AA73" s="251">
        <v>910</v>
      </c>
    </row>
    <row r="74" spans="1:27" ht="12">
      <c r="A74" s="240">
        <v>71</v>
      </c>
      <c r="B74" s="242" t="s">
        <v>239</v>
      </c>
      <c r="C74" s="250">
        <v>22.75</v>
      </c>
      <c r="D74" s="251">
        <v>25913.582417582416</v>
      </c>
      <c r="E74" s="252">
        <v>305.202</v>
      </c>
      <c r="F74" s="251">
        <v>35.98</v>
      </c>
      <c r="G74" s="253">
        <v>0.63</v>
      </c>
      <c r="H74" s="265">
        <v>74.7</v>
      </c>
      <c r="I74" s="253">
        <v>34.14</v>
      </c>
      <c r="J74" s="259">
        <v>6.4</v>
      </c>
      <c r="K74" s="260">
        <v>6912.3</v>
      </c>
      <c r="L74" s="261">
        <v>3.27</v>
      </c>
      <c r="M74" s="257">
        <v>0.41442715700141436</v>
      </c>
      <c r="N74" s="258">
        <v>1.432408236347359</v>
      </c>
      <c r="O74" s="258">
        <v>0</v>
      </c>
      <c r="P74" s="258">
        <v>4.5</v>
      </c>
      <c r="Q74" s="252">
        <v>6</v>
      </c>
      <c r="R74" s="240">
        <v>30.9</v>
      </c>
      <c r="S74" s="240">
        <v>67.4</v>
      </c>
      <c r="T74" s="240">
        <v>1.7</v>
      </c>
      <c r="U74" s="252">
        <v>219.31147252747252</v>
      </c>
      <c r="V74" s="251">
        <v>13099.4</v>
      </c>
      <c r="W74" s="251">
        <v>23905.4</v>
      </c>
      <c r="X74" s="252">
        <v>39.5</v>
      </c>
      <c r="Y74" s="251">
        <v>8590</v>
      </c>
      <c r="Z74" s="251">
        <v>731</v>
      </c>
      <c r="AA74" s="251">
        <v>175</v>
      </c>
    </row>
    <row r="75" spans="1:27" ht="12">
      <c r="A75" s="240">
        <v>72</v>
      </c>
      <c r="B75" s="241" t="s">
        <v>240</v>
      </c>
      <c r="C75" s="250">
        <v>64.866</v>
      </c>
      <c r="D75" s="251">
        <v>7898.4984429439155</v>
      </c>
      <c r="E75" s="252">
        <v>163.492</v>
      </c>
      <c r="F75" s="251">
        <v>513.12</v>
      </c>
      <c r="G75" s="253">
        <v>0.87</v>
      </c>
      <c r="H75" s="254">
        <v>31.9</v>
      </c>
      <c r="I75" s="253">
        <v>30.88</v>
      </c>
      <c r="J75" s="259">
        <v>20.48</v>
      </c>
      <c r="K75" s="260">
        <v>16578.9</v>
      </c>
      <c r="L75" s="261">
        <v>3.65</v>
      </c>
      <c r="M75" s="257">
        <v>0.4570596797671034</v>
      </c>
      <c r="N75" s="258">
        <v>0</v>
      </c>
      <c r="O75" s="258">
        <v>4.653061224489797</v>
      </c>
      <c r="P75" s="258">
        <v>1.5</v>
      </c>
      <c r="Q75" s="252">
        <v>6.1</v>
      </c>
      <c r="R75" s="240">
        <v>44.3</v>
      </c>
      <c r="S75" s="240">
        <v>46.7</v>
      </c>
      <c r="T75" s="240">
        <v>2.8</v>
      </c>
      <c r="U75" s="252">
        <v>50.24974562945148</v>
      </c>
      <c r="V75" s="251">
        <v>6499.8</v>
      </c>
      <c r="W75" s="251">
        <v>16117</v>
      </c>
      <c r="X75" s="252">
        <v>4</v>
      </c>
      <c r="Y75" s="251">
        <v>4800</v>
      </c>
      <c r="Z75" s="251">
        <v>3395</v>
      </c>
      <c r="AA75" s="251">
        <v>445</v>
      </c>
    </row>
    <row r="76" spans="1:27" ht="12">
      <c r="A76" s="240">
        <v>73</v>
      </c>
      <c r="B76" s="241" t="s">
        <v>241</v>
      </c>
      <c r="C76" s="250">
        <v>9.975</v>
      </c>
      <c r="D76" s="251">
        <v>7756.491228070176</v>
      </c>
      <c r="E76" s="252">
        <v>28.568</v>
      </c>
      <c r="F76" s="251">
        <v>163.61</v>
      </c>
      <c r="G76" s="253">
        <v>0.99</v>
      </c>
      <c r="H76" s="254">
        <v>63.7</v>
      </c>
      <c r="I76" s="253">
        <v>27.29</v>
      </c>
      <c r="J76" s="250">
        <v>24.77</v>
      </c>
      <c r="K76" s="255">
        <v>2167.9</v>
      </c>
      <c r="L76" s="256">
        <v>4.51</v>
      </c>
      <c r="M76" s="257">
        <v>0.48148148148148145</v>
      </c>
      <c r="N76" s="258">
        <v>0</v>
      </c>
      <c r="O76" s="258">
        <v>98.9413680781759</v>
      </c>
      <c r="P76" s="258">
        <v>13.8</v>
      </c>
      <c r="Q76" s="252">
        <v>5.1</v>
      </c>
      <c r="R76" s="240">
        <v>31.8</v>
      </c>
      <c r="S76" s="240">
        <v>54.4</v>
      </c>
      <c r="T76" s="240">
        <v>4.1</v>
      </c>
      <c r="U76" s="252">
        <v>58.666065162907266</v>
      </c>
      <c r="V76" s="251">
        <v>1148</v>
      </c>
      <c r="W76" s="251">
        <v>503.9</v>
      </c>
      <c r="X76" s="252">
        <v>3.1</v>
      </c>
      <c r="Y76" s="251">
        <v>506</v>
      </c>
      <c r="Z76" s="251">
        <v>1156</v>
      </c>
      <c r="AA76" s="251">
        <v>586</v>
      </c>
    </row>
    <row r="77" spans="1:27" ht="12">
      <c r="A77" s="240">
        <v>74</v>
      </c>
      <c r="B77" s="241" t="s">
        <v>242</v>
      </c>
      <c r="C77" s="250">
        <v>68.894</v>
      </c>
      <c r="D77" s="251">
        <v>7687.592533457195</v>
      </c>
      <c r="E77" s="252">
        <v>300.087</v>
      </c>
      <c r="F77" s="251">
        <v>774.82</v>
      </c>
      <c r="G77" s="253">
        <v>1.09</v>
      </c>
      <c r="H77" s="254">
        <v>66.3</v>
      </c>
      <c r="I77" s="253">
        <v>27.7</v>
      </c>
      <c r="J77" s="259">
        <v>41.04</v>
      </c>
      <c r="K77" s="255">
        <v>14862.4</v>
      </c>
      <c r="L77" s="256">
        <v>4.76</v>
      </c>
      <c r="M77" s="257">
        <v>0.4970059880239522</v>
      </c>
      <c r="N77" s="258">
        <v>0</v>
      </c>
      <c r="O77" s="258">
        <v>97.1765061150536</v>
      </c>
      <c r="P77" s="258">
        <v>9.3</v>
      </c>
      <c r="Q77" s="252">
        <v>8.2</v>
      </c>
      <c r="R77" s="240">
        <v>29.8</v>
      </c>
      <c r="S77" s="240">
        <v>58.5</v>
      </c>
      <c r="T77" s="240">
        <v>9.3</v>
      </c>
      <c r="U77" s="252">
        <v>66.77127180886579</v>
      </c>
      <c r="V77" s="251">
        <v>18914.9</v>
      </c>
      <c r="W77" s="251">
        <v>23374.4</v>
      </c>
      <c r="X77" s="252">
        <v>4.5</v>
      </c>
      <c r="Y77" s="251">
        <v>4900</v>
      </c>
      <c r="Z77" s="251">
        <v>826</v>
      </c>
      <c r="AA77" s="251">
        <v>385</v>
      </c>
    </row>
    <row r="78" spans="1:27" ht="12">
      <c r="A78" s="240">
        <v>75</v>
      </c>
      <c r="B78" s="241" t="s">
        <v>29</v>
      </c>
      <c r="C78" s="250">
        <v>47.732</v>
      </c>
      <c r="D78" s="251">
        <v>6539.177071985251</v>
      </c>
      <c r="E78" s="252">
        <v>65.039</v>
      </c>
      <c r="F78" s="251">
        <v>603.7</v>
      </c>
      <c r="G78" s="253">
        <v>-0.63</v>
      </c>
      <c r="H78" s="254">
        <v>67.2</v>
      </c>
      <c r="I78" s="253">
        <v>38.22</v>
      </c>
      <c r="J78" s="259">
        <v>20.34</v>
      </c>
      <c r="K78" s="255">
        <v>19730.9</v>
      </c>
      <c r="L78" s="256">
        <v>2.42</v>
      </c>
      <c r="M78" s="257">
        <v>0.4556040756914119</v>
      </c>
      <c r="N78" s="258">
        <v>8.188249769301754</v>
      </c>
      <c r="O78" s="258">
        <v>0</v>
      </c>
      <c r="P78" s="258">
        <v>3.5</v>
      </c>
      <c r="Q78" s="252">
        <v>12</v>
      </c>
      <c r="R78" s="240">
        <v>45.1</v>
      </c>
      <c r="S78" s="240">
        <v>36.9</v>
      </c>
      <c r="T78" s="240">
        <v>12</v>
      </c>
      <c r="U78" s="252">
        <v>113.13096036202128</v>
      </c>
      <c r="V78" s="251">
        <v>10833.3</v>
      </c>
      <c r="W78" s="251">
        <v>4200</v>
      </c>
      <c r="X78" s="252">
        <v>1.9</v>
      </c>
      <c r="Y78" s="251">
        <v>900</v>
      </c>
      <c r="Z78" s="251">
        <v>215</v>
      </c>
      <c r="AA78" s="251">
        <v>104</v>
      </c>
    </row>
    <row r="79" spans="1:27" ht="12">
      <c r="A79" s="240">
        <v>76</v>
      </c>
      <c r="B79" s="242" t="s">
        <v>243</v>
      </c>
      <c r="C79" s="250">
        <v>2.524</v>
      </c>
      <c r="D79" s="251">
        <v>41026.941362916004</v>
      </c>
      <c r="E79" s="252">
        <v>95.721</v>
      </c>
      <c r="F79" s="251">
        <v>83.6</v>
      </c>
      <c r="G79" s="253">
        <v>1.54</v>
      </c>
      <c r="H79" s="254">
        <v>85.1</v>
      </c>
      <c r="I79" s="253">
        <v>27.9</v>
      </c>
      <c r="J79" s="259">
        <v>14.51</v>
      </c>
      <c r="K79" s="260">
        <v>618.5</v>
      </c>
      <c r="L79" s="261">
        <v>6.41</v>
      </c>
      <c r="M79" s="257">
        <v>0.41043723554301825</v>
      </c>
      <c r="N79" s="258">
        <v>0</v>
      </c>
      <c r="O79" s="258">
        <v>80.06430868167203</v>
      </c>
      <c r="P79" s="258">
        <v>2.4</v>
      </c>
      <c r="Q79" s="252">
        <v>5.7</v>
      </c>
      <c r="R79" s="240">
        <v>58.5</v>
      </c>
      <c r="S79" s="240">
        <v>37.5</v>
      </c>
      <c r="T79" s="240">
        <v>3.2</v>
      </c>
      <c r="U79" s="252">
        <v>314.61965134706816</v>
      </c>
      <c r="V79" s="251">
        <v>1093.7</v>
      </c>
      <c r="W79" s="251">
        <v>2428.1</v>
      </c>
      <c r="X79" s="252">
        <v>15.8</v>
      </c>
      <c r="Y79" s="251">
        <v>1176</v>
      </c>
      <c r="Z79" s="251">
        <v>485</v>
      </c>
      <c r="AA79" s="251">
        <v>394</v>
      </c>
    </row>
    <row r="80" spans="1:27" ht="12">
      <c r="A80" s="240">
        <v>77</v>
      </c>
      <c r="B80" s="242" t="s">
        <v>244</v>
      </c>
      <c r="C80" s="250">
        <v>60.271</v>
      </c>
      <c r="D80" s="251">
        <v>28809.493786398103</v>
      </c>
      <c r="E80" s="252">
        <v>2125.509</v>
      </c>
      <c r="F80" s="251">
        <v>242.91</v>
      </c>
      <c r="G80" s="253">
        <v>0.28</v>
      </c>
      <c r="H80" s="254">
        <v>89.1</v>
      </c>
      <c r="I80" s="253">
        <v>38.99</v>
      </c>
      <c r="J80" s="259">
        <v>5.16</v>
      </c>
      <c r="K80" s="255">
        <v>25095.7</v>
      </c>
      <c r="L80" s="256">
        <v>2.37</v>
      </c>
      <c r="M80" s="257">
        <v>0.5082956259426848</v>
      </c>
      <c r="N80" s="258">
        <v>9.322881921280853</v>
      </c>
      <c r="O80" s="258">
        <v>2.0346897931954637</v>
      </c>
      <c r="P80" s="258">
        <v>4.8</v>
      </c>
      <c r="Q80" s="252">
        <v>3.2</v>
      </c>
      <c r="R80" s="240">
        <v>26.3</v>
      </c>
      <c r="S80" s="240">
        <v>72.7</v>
      </c>
      <c r="T80" s="240">
        <v>1.4</v>
      </c>
      <c r="U80" s="252">
        <v>428.4315840122115</v>
      </c>
      <c r="V80" s="251">
        <v>33750</v>
      </c>
      <c r="W80" s="251">
        <v>49921.4</v>
      </c>
      <c r="X80" s="252">
        <v>40.6</v>
      </c>
      <c r="Y80" s="251">
        <v>25000</v>
      </c>
      <c r="Z80" s="251">
        <v>716</v>
      </c>
      <c r="AA80" s="251">
        <v>246</v>
      </c>
    </row>
    <row r="81" spans="1:27" ht="12">
      <c r="A81" s="240">
        <v>78</v>
      </c>
      <c r="B81" s="242" t="s">
        <v>245</v>
      </c>
      <c r="C81" s="250">
        <v>293.028</v>
      </c>
      <c r="D81" s="251">
        <v>39604.35521520128</v>
      </c>
      <c r="E81" s="252">
        <v>11733.475</v>
      </c>
      <c r="F81" s="251">
        <v>9629.09</v>
      </c>
      <c r="G81" s="253">
        <v>0.92</v>
      </c>
      <c r="H81" s="254">
        <v>80.1</v>
      </c>
      <c r="I81" s="253">
        <v>36.27</v>
      </c>
      <c r="J81" s="259">
        <v>6.5</v>
      </c>
      <c r="K81" s="255">
        <v>109282.8</v>
      </c>
      <c r="L81" s="256">
        <v>2.58</v>
      </c>
      <c r="M81" s="257">
        <v>0.4962630792227205</v>
      </c>
      <c r="N81" s="258">
        <v>20.814005110690854</v>
      </c>
      <c r="O81" s="258">
        <v>1.5</v>
      </c>
      <c r="P81" s="258">
        <v>5.5</v>
      </c>
      <c r="Q81" s="252">
        <v>4.4</v>
      </c>
      <c r="R81" s="240">
        <v>19.7</v>
      </c>
      <c r="S81" s="240">
        <v>79.4</v>
      </c>
      <c r="T81" s="240">
        <v>2.5</v>
      </c>
      <c r="U81" s="252">
        <v>469.693909797016</v>
      </c>
      <c r="V81" s="251">
        <v>190994</v>
      </c>
      <c r="W81" s="251">
        <v>140766.8</v>
      </c>
      <c r="X81" s="252">
        <v>65.9</v>
      </c>
      <c r="Y81" s="251">
        <v>159000</v>
      </c>
      <c r="Z81" s="251">
        <v>346</v>
      </c>
      <c r="AA81" s="251">
        <v>293</v>
      </c>
    </row>
    <row r="82" spans="1:27" ht="12">
      <c r="A82" s="240">
        <v>79</v>
      </c>
      <c r="B82" s="241" t="s">
        <v>246</v>
      </c>
      <c r="C82" s="250">
        <v>3.399</v>
      </c>
      <c r="D82" s="251">
        <v>9107.972933215651</v>
      </c>
      <c r="E82" s="252">
        <v>12.044</v>
      </c>
      <c r="F82" s="251">
        <v>176.22</v>
      </c>
      <c r="G82" s="253">
        <v>0.47</v>
      </c>
      <c r="H82" s="254">
        <v>92.6</v>
      </c>
      <c r="I82" s="253">
        <v>32.46</v>
      </c>
      <c r="J82" s="259">
        <v>11.95</v>
      </c>
      <c r="K82" s="260">
        <v>1291.3</v>
      </c>
      <c r="L82" s="261">
        <v>2.63</v>
      </c>
      <c r="M82" s="257">
        <v>0.5772870662460569</v>
      </c>
      <c r="N82" s="258">
        <v>78.48484848484848</v>
      </c>
      <c r="O82" s="258">
        <v>0</v>
      </c>
      <c r="P82" s="258">
        <v>13</v>
      </c>
      <c r="Q82" s="252">
        <v>10.2</v>
      </c>
      <c r="R82" s="240">
        <v>27.4</v>
      </c>
      <c r="S82" s="240">
        <v>64.8</v>
      </c>
      <c r="T82" s="240">
        <v>7.6</v>
      </c>
      <c r="U82" s="252">
        <v>194.85142689026185</v>
      </c>
      <c r="V82" s="251">
        <v>950.9</v>
      </c>
      <c r="W82" s="251">
        <v>652</v>
      </c>
      <c r="X82" s="252">
        <v>11</v>
      </c>
      <c r="Y82" s="266">
        <v>200</v>
      </c>
      <c r="Z82" s="251">
        <v>263</v>
      </c>
      <c r="AA82" s="251">
        <v>488</v>
      </c>
    </row>
    <row r="83" spans="1:27" ht="12">
      <c r="A83" s="240">
        <v>80</v>
      </c>
      <c r="B83" s="241" t="s">
        <v>247</v>
      </c>
      <c r="C83" s="250">
        <v>25.017</v>
      </c>
      <c r="D83" s="251">
        <v>5769.91645680937</v>
      </c>
      <c r="E83" s="252">
        <v>107.487</v>
      </c>
      <c r="F83" s="267">
        <v>916.445</v>
      </c>
      <c r="G83" s="253">
        <v>1.4</v>
      </c>
      <c r="H83" s="254">
        <v>87.7</v>
      </c>
      <c r="I83" s="253">
        <v>25.6</v>
      </c>
      <c r="J83" s="259">
        <v>22.2</v>
      </c>
      <c r="K83" s="260">
        <v>5530.5</v>
      </c>
      <c r="L83" s="261">
        <v>4.6</v>
      </c>
      <c r="M83" s="257">
        <v>0.5503875968992248</v>
      </c>
      <c r="N83" s="258">
        <v>89.48863636363636</v>
      </c>
      <c r="O83" s="258">
        <v>0</v>
      </c>
      <c r="P83" s="258">
        <v>17.1</v>
      </c>
      <c r="Q83" s="252">
        <v>16.8</v>
      </c>
      <c r="R83" s="240">
        <v>46.5</v>
      </c>
      <c r="S83" s="240">
        <v>53.4</v>
      </c>
      <c r="T83" s="240">
        <v>22.4</v>
      </c>
      <c r="U83" s="252">
        <v>56.7614022464724</v>
      </c>
      <c r="V83" s="251">
        <v>2841.8</v>
      </c>
      <c r="W83" s="251">
        <v>6489.9</v>
      </c>
      <c r="X83" s="252">
        <v>6.1</v>
      </c>
      <c r="Y83" s="251">
        <v>1274</v>
      </c>
      <c r="Z83" s="251">
        <v>423</v>
      </c>
      <c r="AA83" s="251">
        <v>585</v>
      </c>
    </row>
    <row r="84" spans="1:27" ht="12">
      <c r="A84" s="240">
        <v>81</v>
      </c>
      <c r="B84" s="268" t="s">
        <v>31</v>
      </c>
      <c r="C84" s="250">
        <v>58.1</v>
      </c>
      <c r="D84" s="251">
        <v>28172</v>
      </c>
      <c r="E84" s="252">
        <v>1680.7</v>
      </c>
      <c r="F84" s="251">
        <v>301.3</v>
      </c>
      <c r="G84" s="253">
        <v>0.1</v>
      </c>
      <c r="H84" s="254">
        <v>67.4</v>
      </c>
      <c r="I84" s="243">
        <v>41.8</v>
      </c>
      <c r="J84" s="269">
        <v>6.1</v>
      </c>
      <c r="K84" s="260">
        <v>22839.7</v>
      </c>
      <c r="L84" s="261">
        <v>2.55</v>
      </c>
      <c r="M84" s="240">
        <v>0.49</v>
      </c>
      <c r="N84" s="258">
        <v>80</v>
      </c>
      <c r="O84" s="258">
        <v>1.2</v>
      </c>
      <c r="P84" s="258">
        <v>8.6</v>
      </c>
      <c r="Q84" s="252">
        <v>1.2</v>
      </c>
      <c r="R84" s="240">
        <v>28.8</v>
      </c>
      <c r="S84" s="240">
        <v>68.9</v>
      </c>
      <c r="T84" s="240">
        <v>2.8</v>
      </c>
      <c r="U84" s="252">
        <v>231</v>
      </c>
      <c r="V84" s="251">
        <v>26546</v>
      </c>
      <c r="W84" s="251">
        <v>55918</v>
      </c>
      <c r="X84" s="252">
        <v>23.1</v>
      </c>
      <c r="Y84" s="251">
        <v>19900</v>
      </c>
      <c r="Z84" s="251">
        <v>160</v>
      </c>
      <c r="AA84" s="251">
        <v>213</v>
      </c>
    </row>
    <row r="85" spans="5:6" ht="12">
      <c r="E85" s="240"/>
      <c r="F85" s="240"/>
    </row>
    <row r="86" spans="2:27" ht="12">
      <c r="B86" s="243" t="s">
        <v>272</v>
      </c>
      <c r="C86" s="251">
        <f aca="true" t="shared" si="0" ref="C86:AA86">MIN(C4:C83)</f>
        <v>0.463</v>
      </c>
      <c r="D86" s="251">
        <f t="shared" si="0"/>
        <v>1163.9089855959435</v>
      </c>
      <c r="E86" s="251">
        <f t="shared" si="0"/>
        <v>10.754</v>
      </c>
      <c r="F86" s="251">
        <f t="shared" si="0"/>
        <v>0.62</v>
      </c>
      <c r="G86" s="251">
        <f t="shared" si="0"/>
        <v>-0.89</v>
      </c>
      <c r="H86" s="251">
        <f t="shared" si="0"/>
        <v>21</v>
      </c>
      <c r="I86" s="251">
        <f t="shared" si="0"/>
        <v>18.07</v>
      </c>
      <c r="J86" s="251">
        <f t="shared" si="0"/>
        <v>2.29</v>
      </c>
      <c r="K86" s="251">
        <f t="shared" si="0"/>
        <v>154.9</v>
      </c>
      <c r="L86" s="252">
        <f t="shared" si="0"/>
        <v>2.12</v>
      </c>
      <c r="M86" s="251">
        <f t="shared" si="0"/>
        <v>0.32058047493403696</v>
      </c>
      <c r="N86" s="251">
        <f t="shared" si="0"/>
        <v>0</v>
      </c>
      <c r="O86" s="251">
        <f t="shared" si="0"/>
        <v>0</v>
      </c>
      <c r="P86" s="251">
        <f t="shared" si="0"/>
        <v>1.3</v>
      </c>
      <c r="Q86" s="251">
        <f t="shared" si="0"/>
        <v>1.1</v>
      </c>
      <c r="R86" s="251">
        <f t="shared" si="0"/>
        <v>11.3</v>
      </c>
      <c r="S86" s="251">
        <f t="shared" si="0"/>
        <v>28.6</v>
      </c>
      <c r="T86" s="251">
        <f t="shared" si="0"/>
        <v>-0.3</v>
      </c>
      <c r="U86" s="251">
        <f t="shared" si="0"/>
        <v>1.1750280984980075</v>
      </c>
      <c r="V86" s="251">
        <f t="shared" si="0"/>
        <v>175.4</v>
      </c>
      <c r="W86" s="251">
        <f t="shared" si="0"/>
        <v>70</v>
      </c>
      <c r="X86" s="251">
        <f t="shared" si="0"/>
        <v>0.45</v>
      </c>
      <c r="Y86" s="251">
        <f t="shared" si="0"/>
        <v>70</v>
      </c>
      <c r="Z86" s="251">
        <f t="shared" si="0"/>
        <v>212</v>
      </c>
      <c r="AA86" s="251">
        <f t="shared" si="0"/>
        <v>77</v>
      </c>
    </row>
    <row r="87" spans="2:27" ht="12">
      <c r="B87" s="243" t="s">
        <v>273</v>
      </c>
      <c r="C87" s="251">
        <f aca="true" t="shared" si="1" ref="C87:AA87">MAX(C4:C83)</f>
        <v>1298.848</v>
      </c>
      <c r="D87" s="251">
        <f t="shared" si="1"/>
        <v>62440.60475161987</v>
      </c>
      <c r="E87" s="251">
        <f t="shared" si="1"/>
        <v>11733.475</v>
      </c>
      <c r="F87" s="251">
        <f t="shared" si="1"/>
        <v>17075.4</v>
      </c>
      <c r="G87" s="251">
        <f t="shared" si="1"/>
        <v>3.44</v>
      </c>
      <c r="H87" s="251">
        <f t="shared" si="1"/>
        <v>100</v>
      </c>
      <c r="I87" s="251">
        <f t="shared" si="1"/>
        <v>42.64</v>
      </c>
      <c r="J87" s="251">
        <f t="shared" si="1"/>
        <v>98.8</v>
      </c>
      <c r="K87" s="251">
        <f t="shared" si="1"/>
        <v>371632.1</v>
      </c>
      <c r="L87" s="252">
        <f t="shared" si="1"/>
        <v>7.2</v>
      </c>
      <c r="M87" s="251">
        <f t="shared" si="1"/>
        <v>0.8621973929236498</v>
      </c>
      <c r="N87" s="251">
        <f t="shared" si="1"/>
        <v>92.46894409937887</v>
      </c>
      <c r="O87" s="251">
        <f t="shared" si="1"/>
        <v>99.1239454899416</v>
      </c>
      <c r="P87" s="251">
        <f t="shared" si="1"/>
        <v>30</v>
      </c>
      <c r="Q87" s="251">
        <f t="shared" si="1"/>
        <v>16.8</v>
      </c>
      <c r="R87" s="251">
        <f t="shared" si="1"/>
        <v>67.2</v>
      </c>
      <c r="S87" s="251">
        <f t="shared" si="1"/>
        <v>88.6</v>
      </c>
      <c r="T87" s="251">
        <f t="shared" si="1"/>
        <v>22.4</v>
      </c>
      <c r="U87" s="251">
        <f t="shared" si="1"/>
        <v>606.2829373650108</v>
      </c>
      <c r="V87" s="251">
        <f t="shared" si="1"/>
        <v>214420</v>
      </c>
      <c r="W87" s="251">
        <f t="shared" si="1"/>
        <v>206620</v>
      </c>
      <c r="X87" s="251">
        <f t="shared" si="1"/>
        <v>70.9</v>
      </c>
      <c r="Y87" s="251">
        <f t="shared" si="1"/>
        <v>159000</v>
      </c>
      <c r="Z87" s="251">
        <f t="shared" si="1"/>
        <v>9395</v>
      </c>
      <c r="AA87" s="251">
        <f t="shared" si="1"/>
        <v>2230</v>
      </c>
    </row>
    <row r="88" spans="2:27" ht="12">
      <c r="B88" s="243" t="s">
        <v>274</v>
      </c>
      <c r="C88" s="251">
        <f aca="true" t="shared" si="2" ref="C88:AA88">C87-C86</f>
        <v>1298.385</v>
      </c>
      <c r="D88" s="251">
        <f t="shared" si="2"/>
        <v>61276.69576602392</v>
      </c>
      <c r="E88" s="251">
        <f t="shared" si="2"/>
        <v>11722.721</v>
      </c>
      <c r="F88" s="251">
        <f t="shared" si="2"/>
        <v>17074.780000000002</v>
      </c>
      <c r="G88" s="251">
        <f t="shared" si="2"/>
        <v>4.33</v>
      </c>
      <c r="H88" s="251">
        <f t="shared" si="2"/>
        <v>79</v>
      </c>
      <c r="I88" s="251">
        <f t="shared" si="2"/>
        <v>24.57</v>
      </c>
      <c r="J88" s="251">
        <f t="shared" si="2"/>
        <v>96.50999999999999</v>
      </c>
      <c r="K88" s="251">
        <f t="shared" si="2"/>
        <v>371477.19999999995</v>
      </c>
      <c r="L88" s="252">
        <f t="shared" si="2"/>
        <v>5.08</v>
      </c>
      <c r="M88" s="251">
        <f t="shared" si="2"/>
        <v>0.5416169179896129</v>
      </c>
      <c r="N88" s="251">
        <f t="shared" si="2"/>
        <v>92.46894409937887</v>
      </c>
      <c r="O88" s="251">
        <f t="shared" si="2"/>
        <v>99.1239454899416</v>
      </c>
      <c r="P88" s="251">
        <f t="shared" si="2"/>
        <v>28.7</v>
      </c>
      <c r="Q88" s="251">
        <f t="shared" si="2"/>
        <v>15.700000000000001</v>
      </c>
      <c r="R88" s="251">
        <f t="shared" si="2"/>
        <v>55.900000000000006</v>
      </c>
      <c r="S88" s="251">
        <f t="shared" si="2"/>
        <v>59.99999999999999</v>
      </c>
      <c r="T88" s="251">
        <f t="shared" si="2"/>
        <v>22.7</v>
      </c>
      <c r="U88" s="251">
        <f t="shared" si="2"/>
        <v>605.1079092665127</v>
      </c>
      <c r="V88" s="251">
        <f t="shared" si="2"/>
        <v>214244.6</v>
      </c>
      <c r="W88" s="251">
        <f t="shared" si="2"/>
        <v>206550</v>
      </c>
      <c r="X88" s="251">
        <f t="shared" si="2"/>
        <v>70.45</v>
      </c>
      <c r="Y88" s="251">
        <f t="shared" si="2"/>
        <v>158930</v>
      </c>
      <c r="Z88" s="251">
        <f t="shared" si="2"/>
        <v>9183</v>
      </c>
      <c r="AA88" s="251">
        <f t="shared" si="2"/>
        <v>2153</v>
      </c>
    </row>
    <row r="89" spans="2:27" ht="12">
      <c r="B89" s="243" t="s">
        <v>275</v>
      </c>
      <c r="C89" s="251">
        <f aca="true" t="shared" si="3" ref="C89:AA89">AVERAGE(C4:C83)</f>
        <v>65.48691250000002</v>
      </c>
      <c r="D89" s="251">
        <f t="shared" si="3"/>
        <v>16480.131515787936</v>
      </c>
      <c r="E89" s="251">
        <f t="shared" si="3"/>
        <v>480.252275</v>
      </c>
      <c r="F89" s="251">
        <f t="shared" si="3"/>
        <v>1296.7991424999996</v>
      </c>
      <c r="G89" s="251">
        <f t="shared" si="3"/>
        <v>0.8720000000000004</v>
      </c>
      <c r="H89" s="251">
        <f t="shared" si="3"/>
        <v>69.56125</v>
      </c>
      <c r="I89" s="251">
        <f t="shared" si="3"/>
        <v>31.991749999999996</v>
      </c>
      <c r="J89" s="251">
        <f t="shared" si="3"/>
        <v>17.763625000000005</v>
      </c>
      <c r="K89" s="251">
        <f t="shared" si="3"/>
        <v>17365.598749999986</v>
      </c>
      <c r="L89" s="252">
        <f t="shared" si="3"/>
        <v>3.6409999999999996</v>
      </c>
      <c r="M89" s="251">
        <f t="shared" si="3"/>
        <v>0.5212241929058631</v>
      </c>
      <c r="N89" s="251">
        <f t="shared" si="3"/>
        <v>28.94249332696021</v>
      </c>
      <c r="O89" s="251">
        <f t="shared" si="3"/>
        <v>23.036264307226624</v>
      </c>
      <c r="P89" s="251">
        <f t="shared" si="3"/>
        <v>9.781249999999996</v>
      </c>
      <c r="Q89" s="251">
        <f t="shared" si="3"/>
        <v>5.1325</v>
      </c>
      <c r="R89" s="251">
        <f t="shared" si="3"/>
        <v>33.24875000000001</v>
      </c>
      <c r="S89" s="251">
        <f t="shared" si="3"/>
        <v>58.879999999999974</v>
      </c>
      <c r="T89" s="251">
        <f t="shared" si="3"/>
        <v>4.453750000000001</v>
      </c>
      <c r="U89" s="251">
        <f t="shared" si="3"/>
        <v>228.0191342249931</v>
      </c>
      <c r="V89" s="251">
        <f t="shared" si="3"/>
        <v>13126.053750000003</v>
      </c>
      <c r="W89" s="251">
        <f t="shared" si="3"/>
        <v>13511.623749999999</v>
      </c>
      <c r="X89" s="251">
        <f t="shared" si="3"/>
        <v>19.998875</v>
      </c>
      <c r="Y89" s="251">
        <f t="shared" si="3"/>
        <v>7411.25</v>
      </c>
      <c r="Z89" s="251">
        <f t="shared" si="3"/>
        <v>896.3125</v>
      </c>
      <c r="AA89" s="251">
        <f t="shared" si="3"/>
        <v>419.4125</v>
      </c>
    </row>
    <row r="90" spans="2:27" ht="12">
      <c r="B90" s="270" t="s">
        <v>276</v>
      </c>
      <c r="C90" s="271">
        <f aca="true" t="shared" si="4" ref="C90:AA90">STDEVP(C4:C83)</f>
        <v>187.51570552244374</v>
      </c>
      <c r="D90" s="271">
        <f t="shared" si="4"/>
        <v>12098.777142701741</v>
      </c>
      <c r="E90" s="271">
        <f t="shared" si="4"/>
        <v>1439.691159475149</v>
      </c>
      <c r="F90" s="271">
        <f t="shared" si="4"/>
        <v>2832.9388176591274</v>
      </c>
      <c r="G90" s="271">
        <f t="shared" si="4"/>
        <v>0.942932129052775</v>
      </c>
      <c r="H90" s="271">
        <f t="shared" si="4"/>
        <v>17.656404601093126</v>
      </c>
      <c r="I90" s="271">
        <f t="shared" si="4"/>
        <v>7.1721197659757765</v>
      </c>
      <c r="J90" s="271">
        <f t="shared" si="4"/>
        <v>17.49715335731429</v>
      </c>
      <c r="K90" s="271">
        <f t="shared" si="4"/>
        <v>47998.479947485044</v>
      </c>
      <c r="L90" s="252">
        <f t="shared" si="4"/>
        <v>1.2405579389935815</v>
      </c>
      <c r="M90" s="271">
        <f t="shared" si="4"/>
        <v>0.1079648161597041</v>
      </c>
      <c r="N90" s="271">
        <f t="shared" si="4"/>
        <v>36.37070649394017</v>
      </c>
      <c r="O90" s="271">
        <f t="shared" si="4"/>
        <v>34.72066391358882</v>
      </c>
      <c r="P90" s="271">
        <f t="shared" si="4"/>
        <v>6.342182072244543</v>
      </c>
      <c r="Q90" s="271">
        <f t="shared" si="4"/>
        <v>2.54684976981368</v>
      </c>
      <c r="R90" s="271">
        <f t="shared" si="4"/>
        <v>10.17600110247141</v>
      </c>
      <c r="S90" s="271">
        <f t="shared" si="4"/>
        <v>12.281117620151758</v>
      </c>
      <c r="T90" s="271">
        <f t="shared" si="4"/>
        <v>4.15836337246999</v>
      </c>
      <c r="U90" s="271">
        <f t="shared" si="4"/>
        <v>176.37007663408536</v>
      </c>
      <c r="V90" s="271">
        <f t="shared" si="4"/>
        <v>33076.46091715355</v>
      </c>
      <c r="W90" s="271">
        <f t="shared" si="4"/>
        <v>29611.783989837742</v>
      </c>
      <c r="X90" s="271">
        <f t="shared" si="4"/>
        <v>19.684676146291437</v>
      </c>
      <c r="Y90" s="271">
        <f t="shared" si="4"/>
        <v>20024.128761009804</v>
      </c>
      <c r="Z90" s="271">
        <f t="shared" si="4"/>
        <v>1364.3107471700682</v>
      </c>
      <c r="AA90" s="271">
        <f t="shared" si="4"/>
        <v>409.25999357834866</v>
      </c>
    </row>
    <row r="91" spans="2:27" ht="12">
      <c r="B91" s="243" t="s">
        <v>277</v>
      </c>
      <c r="C91" s="272">
        <f aca="true" t="shared" si="5" ref="C91:AA91">C90/C89</f>
        <v>2.863407333830919</v>
      </c>
      <c r="D91" s="272">
        <f t="shared" si="5"/>
        <v>0.7341432397618389</v>
      </c>
      <c r="E91" s="272">
        <f t="shared" si="5"/>
        <v>2.9977810297205756</v>
      </c>
      <c r="F91" s="272">
        <f t="shared" si="5"/>
        <v>2.184562531555752</v>
      </c>
      <c r="G91" s="272">
        <f t="shared" si="5"/>
        <v>1.0813441846935488</v>
      </c>
      <c r="H91" s="272">
        <f t="shared" si="5"/>
        <v>0.2538252921144046</v>
      </c>
      <c r="I91" s="272">
        <f t="shared" si="5"/>
        <v>0.2241865407792877</v>
      </c>
      <c r="J91" s="272">
        <f t="shared" si="5"/>
        <v>0.9849990279188108</v>
      </c>
      <c r="K91" s="272">
        <f t="shared" si="5"/>
        <v>2.7639979846640808</v>
      </c>
      <c r="L91" s="272">
        <f t="shared" si="5"/>
        <v>0.34071901647722647</v>
      </c>
      <c r="M91" s="272">
        <f t="shared" si="5"/>
        <v>0.207137000985684</v>
      </c>
      <c r="N91" s="272">
        <f t="shared" si="5"/>
        <v>1.2566542240526495</v>
      </c>
      <c r="O91" s="272">
        <f t="shared" si="5"/>
        <v>1.5072176395673984</v>
      </c>
      <c r="P91" s="272">
        <f t="shared" si="5"/>
        <v>0.6484020009962475</v>
      </c>
      <c r="Q91" s="272">
        <f t="shared" si="5"/>
        <v>0.4962201207625289</v>
      </c>
      <c r="R91" s="272">
        <f t="shared" si="5"/>
        <v>0.30605665182815617</v>
      </c>
      <c r="S91" s="272">
        <f t="shared" si="5"/>
        <v>0.20857876392920793</v>
      </c>
      <c r="T91" s="272">
        <f t="shared" si="5"/>
        <v>0.9336768728532112</v>
      </c>
      <c r="U91" s="272">
        <f t="shared" si="5"/>
        <v>0.7734880549982962</v>
      </c>
      <c r="V91" s="272">
        <f t="shared" si="5"/>
        <v>2.519908995279982</v>
      </c>
      <c r="W91" s="272">
        <f t="shared" si="5"/>
        <v>2.1915784910631295</v>
      </c>
      <c r="X91" s="272">
        <f t="shared" si="5"/>
        <v>0.9842891735805857</v>
      </c>
      <c r="Y91" s="272">
        <f t="shared" si="5"/>
        <v>2.701855795042645</v>
      </c>
      <c r="Z91" s="272">
        <f t="shared" si="5"/>
        <v>1.5221373652270478</v>
      </c>
      <c r="AA91" s="272">
        <f t="shared" si="5"/>
        <v>0.9757935053875328</v>
      </c>
    </row>
    <row r="93" ht="12">
      <c r="B93" s="241" t="s">
        <v>278</v>
      </c>
    </row>
    <row r="94" ht="12">
      <c r="B94" s="242" t="s">
        <v>279</v>
      </c>
    </row>
  </sheetData>
  <sheetProtection sheet="1" objects="1" scenarios="1"/>
  <conditionalFormatting sqref="F4:F84">
    <cfRule type="cellIs" priority="1" dxfId="1" operator="equal" stopIfTrue="1">
      <formula>2</formula>
    </cfRule>
  </conditionalFormatting>
  <printOptions/>
  <pageMargins left="0.3937007874015748" right="0.3937007874015748" top="0.3937007874015748" bottom="0.3937007874015748" header="0.5118110236220472" footer="0.5118110236220472"/>
  <pageSetup fitToHeight="1" fitToWidth="1" orientation="portrait" paperSize="9" scale="63" r:id="rId1"/>
</worksheet>
</file>

<file path=xl/worksheets/sheet9.xml><?xml version="1.0" encoding="utf-8"?>
<worksheet xmlns="http://schemas.openxmlformats.org/spreadsheetml/2006/main" xmlns:r="http://schemas.openxmlformats.org/officeDocument/2006/relationships">
  <sheetPr codeName="Foglio10"/>
  <dimension ref="A1:Q1823"/>
  <sheetViews>
    <sheetView showGridLines="0" workbookViewId="0" topLeftCell="A1">
      <pane ySplit="1" topLeftCell="BM1800" activePane="bottomLeft" state="frozen"/>
      <selection pane="topLeft" activeCell="A1" sqref="A1"/>
      <selection pane="bottomLeft" activeCell="B1822" sqref="B1822"/>
    </sheetView>
  </sheetViews>
  <sheetFormatPr defaultColWidth="9.140625" defaultRowHeight="11.25"/>
  <cols>
    <col min="1" max="13" width="7.7109375" style="1" customWidth="1"/>
    <col min="14" max="14" width="7.00390625" style="1" customWidth="1"/>
    <col min="15" max="23" width="7.7109375" style="1" customWidth="1"/>
    <col min="24" max="16384" width="9.140625" style="1" customWidth="1"/>
  </cols>
  <sheetData>
    <row r="1" spans="6:17" ht="56.25" customHeight="1">
      <c r="F1" s="2"/>
      <c r="G1" s="2"/>
      <c r="H1" s="2"/>
      <c r="I1" s="2"/>
      <c r="J1" s="2"/>
      <c r="K1" s="2"/>
      <c r="L1" s="2"/>
      <c r="M1" s="2"/>
      <c r="N1" s="2"/>
      <c r="O1" s="2"/>
      <c r="P1" s="2"/>
      <c r="Q1" s="2"/>
    </row>
    <row r="50" spans="14:16" ht="12">
      <c r="N50" s="5"/>
      <c r="O50" s="5"/>
      <c r="P50" s="5"/>
    </row>
    <row r="51" spans="14:16" ht="12">
      <c r="N51" s="5"/>
      <c r="O51" s="5"/>
      <c r="P51" s="5"/>
    </row>
    <row r="52" spans="14:16" ht="12">
      <c r="N52" s="5"/>
      <c r="O52" s="5"/>
      <c r="P52" s="5"/>
    </row>
    <row r="53" spans="14:16" ht="12">
      <c r="N53" s="5"/>
      <c r="O53" s="5"/>
      <c r="P53" s="5"/>
    </row>
    <row r="54" spans="14:16" ht="12">
      <c r="N54" s="5"/>
      <c r="O54" s="5"/>
      <c r="P54" s="5"/>
    </row>
    <row r="55" spans="14:16" ht="12">
      <c r="N55" s="5"/>
      <c r="O55" s="5"/>
      <c r="P55" s="5"/>
    </row>
    <row r="56" spans="14:16" ht="12">
      <c r="N56" s="5"/>
      <c r="O56" s="5"/>
      <c r="P56" s="5"/>
    </row>
    <row r="57" spans="14:16" ht="12">
      <c r="N57" s="5"/>
      <c r="O57" s="5"/>
      <c r="P57" s="5"/>
    </row>
    <row r="58" spans="14:16" ht="12">
      <c r="N58" s="5"/>
      <c r="O58" s="5"/>
      <c r="P58" s="5"/>
    </row>
    <row r="59" spans="14:16" ht="12">
      <c r="N59" s="5"/>
      <c r="O59" s="5"/>
      <c r="P59" s="5"/>
    </row>
    <row r="60" spans="14:16" ht="12">
      <c r="N60" s="5"/>
      <c r="O60" s="5"/>
      <c r="P60" s="5"/>
    </row>
    <row r="61" spans="14:16" ht="12">
      <c r="N61" s="5"/>
      <c r="O61" s="5"/>
      <c r="P61" s="5"/>
    </row>
    <row r="62" spans="14:16" ht="12">
      <c r="N62" s="5"/>
      <c r="O62" s="5"/>
      <c r="P62" s="5"/>
    </row>
    <row r="63" spans="14:16" ht="12">
      <c r="N63" s="5"/>
      <c r="O63" s="5"/>
      <c r="P63" s="5"/>
    </row>
    <row r="64" spans="14:16" ht="12">
      <c r="N64" s="5"/>
      <c r="O64" s="5"/>
      <c r="P64" s="5"/>
    </row>
    <row r="65" spans="14:16" ht="12">
      <c r="N65" s="5"/>
      <c r="O65" s="5"/>
      <c r="P65" s="5"/>
    </row>
    <row r="66" spans="14:16" ht="12">
      <c r="N66" s="5"/>
      <c r="O66" s="5"/>
      <c r="P66" s="5"/>
    </row>
    <row r="67" spans="14:16" ht="12">
      <c r="N67" s="5"/>
      <c r="O67" s="5"/>
      <c r="P67" s="5"/>
    </row>
    <row r="68" spans="14:16" ht="12">
      <c r="N68" s="5"/>
      <c r="O68" s="5"/>
      <c r="P68" s="5"/>
    </row>
    <row r="69" spans="1:16" ht="12">
      <c r="A69" s="145"/>
      <c r="B69" s="234" t="s">
        <v>182</v>
      </c>
      <c r="C69" s="145"/>
      <c r="D69" s="235"/>
      <c r="N69" s="5"/>
      <c r="O69" s="5"/>
      <c r="P69" s="5"/>
    </row>
    <row r="70" spans="14:16" ht="12">
      <c r="N70" s="5"/>
      <c r="O70" s="5"/>
      <c r="P70" s="5"/>
    </row>
    <row r="71" spans="14:16" ht="12">
      <c r="N71" s="5"/>
      <c r="O71" s="5"/>
      <c r="P71" s="5"/>
    </row>
    <row r="72" spans="2:16" ht="15">
      <c r="B72" s="236"/>
      <c r="N72" s="5"/>
      <c r="O72" s="5"/>
      <c r="P72" s="5"/>
    </row>
    <row r="73" ht="12">
      <c r="B73" s="12"/>
    </row>
    <row r="74" ht="12">
      <c r="B74" s="12"/>
    </row>
    <row r="75" ht="12">
      <c r="B75" s="12"/>
    </row>
    <row r="101" spans="14:16" ht="12">
      <c r="N101" s="5"/>
      <c r="O101" s="5"/>
      <c r="P101" s="5"/>
    </row>
    <row r="102" spans="14:16" ht="12">
      <c r="N102" s="5"/>
      <c r="O102" s="5"/>
      <c r="P102" s="5"/>
    </row>
    <row r="103" spans="14:16" ht="12">
      <c r="N103" s="5"/>
      <c r="O103" s="5"/>
      <c r="P103" s="5"/>
    </row>
    <row r="104" spans="14:16" ht="12">
      <c r="N104" s="5"/>
      <c r="O104" s="5"/>
      <c r="P104" s="5"/>
    </row>
    <row r="105" spans="14:16" ht="12">
      <c r="N105" s="5"/>
      <c r="O105" s="5"/>
      <c r="P105" s="5"/>
    </row>
    <row r="106" spans="14:16" ht="12">
      <c r="N106" s="5"/>
      <c r="O106" s="5"/>
      <c r="P106" s="5"/>
    </row>
    <row r="107" spans="14:16" ht="12">
      <c r="N107" s="5"/>
      <c r="O107" s="5"/>
      <c r="P107" s="5"/>
    </row>
    <row r="108" spans="14:16" ht="12">
      <c r="N108" s="5"/>
      <c r="O108" s="5"/>
      <c r="P108" s="5"/>
    </row>
    <row r="109" spans="14:16" ht="12">
      <c r="N109" s="5"/>
      <c r="O109" s="5"/>
      <c r="P109" s="5"/>
    </row>
    <row r="110" spans="14:16" ht="12">
      <c r="N110" s="5"/>
      <c r="O110" s="5"/>
      <c r="P110" s="5"/>
    </row>
    <row r="111" spans="14:16" ht="12">
      <c r="N111" s="5"/>
      <c r="O111" s="5"/>
      <c r="P111" s="5"/>
    </row>
    <row r="112" spans="14:16" ht="12">
      <c r="N112" s="5"/>
      <c r="O112" s="5"/>
      <c r="P112" s="5"/>
    </row>
    <row r="113" spans="14:16" ht="12">
      <c r="N113" s="5"/>
      <c r="O113" s="5"/>
      <c r="P113" s="5"/>
    </row>
    <row r="114" spans="14:16" ht="12">
      <c r="N114" s="5"/>
      <c r="O114" s="5"/>
      <c r="P114" s="5"/>
    </row>
    <row r="115" spans="14:16" ht="12">
      <c r="N115" s="5"/>
      <c r="O115" s="5"/>
      <c r="P115" s="5"/>
    </row>
    <row r="116" spans="14:16" ht="12">
      <c r="N116" s="5"/>
      <c r="O116" s="5"/>
      <c r="P116" s="5"/>
    </row>
    <row r="117" spans="14:16" ht="12">
      <c r="N117" s="5"/>
      <c r="O117" s="5"/>
      <c r="P117" s="5"/>
    </row>
    <row r="118" spans="14:16" ht="12">
      <c r="N118" s="5"/>
      <c r="O118" s="5"/>
      <c r="P118" s="5"/>
    </row>
    <row r="119" spans="1:16" ht="12">
      <c r="A119" s="145"/>
      <c r="B119" s="237" t="s">
        <v>186</v>
      </c>
      <c r="C119" s="145"/>
      <c r="D119" s="145"/>
      <c r="N119" s="5"/>
      <c r="O119" s="5"/>
      <c r="P119" s="5"/>
    </row>
    <row r="120" spans="14:16" ht="12">
      <c r="N120" s="5"/>
      <c r="O120" s="5"/>
      <c r="P120" s="5"/>
    </row>
    <row r="152" ht="12">
      <c r="N152" s="5"/>
    </row>
    <row r="153" ht="12">
      <c r="N153" s="5"/>
    </row>
    <row r="154" ht="12">
      <c r="N154" s="5"/>
    </row>
    <row r="155" ht="12">
      <c r="N155" s="5"/>
    </row>
    <row r="156" ht="12">
      <c r="N156" s="5"/>
    </row>
    <row r="157" ht="12">
      <c r="N157" s="5"/>
    </row>
    <row r="158" ht="12">
      <c r="N158" s="5"/>
    </row>
    <row r="159" ht="12">
      <c r="N159" s="5"/>
    </row>
    <row r="160" ht="12">
      <c r="N160" s="5"/>
    </row>
    <row r="161" ht="12">
      <c r="N161" s="5"/>
    </row>
    <row r="162" ht="12">
      <c r="N162" s="5"/>
    </row>
    <row r="163" ht="12">
      <c r="N163" s="5"/>
    </row>
    <row r="164" ht="12">
      <c r="N164" s="5"/>
    </row>
    <row r="165" ht="12">
      <c r="N165" s="5"/>
    </row>
    <row r="166" ht="12">
      <c r="N166" s="5"/>
    </row>
    <row r="167" ht="12">
      <c r="N167" s="5"/>
    </row>
    <row r="168" ht="12">
      <c r="N168" s="5"/>
    </row>
    <row r="169" ht="12">
      <c r="N169" s="5"/>
    </row>
    <row r="170" spans="1:14" ht="12">
      <c r="A170" s="145"/>
      <c r="B170" s="237" t="s">
        <v>186</v>
      </c>
      <c r="C170" s="145"/>
      <c r="D170" s="145"/>
      <c r="N170" s="5"/>
    </row>
    <row r="171" ht="12">
      <c r="N171" s="5"/>
    </row>
    <row r="202" ht="12">
      <c r="N202" s="5"/>
    </row>
    <row r="203" ht="12">
      <c r="N203" s="5"/>
    </row>
    <row r="204" ht="12">
      <c r="N204" s="5"/>
    </row>
    <row r="205" ht="12">
      <c r="N205" s="5"/>
    </row>
    <row r="206" ht="12">
      <c r="N206" s="5"/>
    </row>
    <row r="207" ht="12">
      <c r="N207" s="5"/>
    </row>
    <row r="208" ht="12">
      <c r="N208" s="5"/>
    </row>
    <row r="209" ht="12">
      <c r="N209" s="5"/>
    </row>
    <row r="210" ht="12">
      <c r="N210" s="5"/>
    </row>
    <row r="211" ht="12">
      <c r="N211" s="5"/>
    </row>
    <row r="212" ht="12">
      <c r="N212" s="5"/>
    </row>
    <row r="213" ht="12">
      <c r="N213" s="5"/>
    </row>
    <row r="214" ht="12">
      <c r="N214" s="5"/>
    </row>
    <row r="215" ht="12">
      <c r="N215" s="5"/>
    </row>
    <row r="216" ht="12">
      <c r="N216" s="5"/>
    </row>
    <row r="217" ht="12">
      <c r="N217" s="5"/>
    </row>
    <row r="218" ht="12">
      <c r="N218" s="5"/>
    </row>
    <row r="219" ht="12">
      <c r="N219" s="5"/>
    </row>
    <row r="220" spans="1:14" ht="12">
      <c r="A220" s="145"/>
      <c r="B220" s="237" t="s">
        <v>186</v>
      </c>
      <c r="C220" s="145"/>
      <c r="D220" s="145"/>
      <c r="N220" s="5"/>
    </row>
    <row r="221" ht="12">
      <c r="N221" s="5"/>
    </row>
    <row r="251" ht="12">
      <c r="N251" s="5"/>
    </row>
    <row r="252" ht="12">
      <c r="N252" s="5"/>
    </row>
    <row r="253" ht="12">
      <c r="N253" s="5"/>
    </row>
    <row r="254" ht="12">
      <c r="N254" s="5"/>
    </row>
    <row r="255" ht="12">
      <c r="N255" s="5"/>
    </row>
    <row r="256" ht="12">
      <c r="N256" s="5"/>
    </row>
    <row r="257" ht="12">
      <c r="N257" s="5"/>
    </row>
    <row r="258" ht="12">
      <c r="N258" s="5"/>
    </row>
    <row r="259" ht="12">
      <c r="N259" s="5"/>
    </row>
    <row r="260" ht="12">
      <c r="N260" s="5"/>
    </row>
    <row r="261" ht="12">
      <c r="N261" s="5"/>
    </row>
    <row r="262" ht="12">
      <c r="N262" s="5"/>
    </row>
    <row r="263" ht="12">
      <c r="N263" s="5"/>
    </row>
    <row r="264" ht="12">
      <c r="N264" s="5"/>
    </row>
    <row r="265" ht="12">
      <c r="N265" s="5"/>
    </row>
    <row r="266" ht="12">
      <c r="N266" s="5"/>
    </row>
    <row r="267" ht="12">
      <c r="N267" s="5"/>
    </row>
    <row r="268" ht="12">
      <c r="N268" s="5"/>
    </row>
    <row r="269" spans="1:14" ht="12">
      <c r="A269" s="145"/>
      <c r="B269" s="237" t="s">
        <v>187</v>
      </c>
      <c r="C269" s="145"/>
      <c r="D269" s="235"/>
      <c r="N269" s="5"/>
    </row>
    <row r="270" ht="12">
      <c r="N270" s="5"/>
    </row>
    <row r="301" ht="12">
      <c r="N301" s="5"/>
    </row>
    <row r="302" ht="12">
      <c r="N302" s="5"/>
    </row>
    <row r="303" ht="12">
      <c r="N303" s="5"/>
    </row>
    <row r="304" ht="12">
      <c r="N304" s="5"/>
    </row>
    <row r="305" ht="12">
      <c r="N305" s="5"/>
    </row>
    <row r="306" ht="12">
      <c r="N306" s="5"/>
    </row>
    <row r="307" ht="12">
      <c r="N307" s="5"/>
    </row>
    <row r="308" ht="12">
      <c r="N308" s="5"/>
    </row>
    <row r="309" ht="12">
      <c r="N309" s="5"/>
    </row>
    <row r="310" ht="12">
      <c r="N310" s="5"/>
    </row>
    <row r="311" ht="12">
      <c r="N311" s="5"/>
    </row>
    <row r="312" ht="12">
      <c r="N312" s="5"/>
    </row>
    <row r="313" ht="12">
      <c r="N313" s="5"/>
    </row>
    <row r="314" ht="12">
      <c r="N314" s="5"/>
    </row>
    <row r="315" ht="12">
      <c r="N315" s="5"/>
    </row>
    <row r="316" ht="12">
      <c r="N316" s="5"/>
    </row>
    <row r="317" ht="12">
      <c r="N317" s="5"/>
    </row>
    <row r="318" ht="12">
      <c r="N318" s="5"/>
    </row>
    <row r="319" ht="12">
      <c r="N319" s="5"/>
    </row>
    <row r="320" spans="1:14" ht="12">
      <c r="A320" s="145"/>
      <c r="B320" s="237" t="s">
        <v>188</v>
      </c>
      <c r="C320" s="145"/>
      <c r="D320" s="235"/>
      <c r="N320" s="5"/>
    </row>
    <row r="321" ht="12">
      <c r="N321" s="5"/>
    </row>
    <row r="352" ht="12">
      <c r="N352" s="5"/>
    </row>
    <row r="353" ht="12">
      <c r="N353" s="5"/>
    </row>
    <row r="354" ht="12">
      <c r="N354" s="5"/>
    </row>
    <row r="355" ht="12">
      <c r="N355" s="5"/>
    </row>
    <row r="356" ht="12">
      <c r="N356" s="5"/>
    </row>
    <row r="357" ht="12">
      <c r="N357" s="5"/>
    </row>
    <row r="358" ht="12">
      <c r="N358" s="5"/>
    </row>
    <row r="359" ht="12">
      <c r="N359" s="5"/>
    </row>
    <row r="360" ht="12">
      <c r="N360" s="5"/>
    </row>
    <row r="361" ht="12">
      <c r="N361" s="5"/>
    </row>
    <row r="362" ht="12">
      <c r="N362" s="5"/>
    </row>
    <row r="363" ht="12">
      <c r="N363" s="5"/>
    </row>
    <row r="364" ht="12">
      <c r="N364" s="5"/>
    </row>
    <row r="365" ht="12">
      <c r="N365" s="5"/>
    </row>
    <row r="366" ht="12">
      <c r="N366" s="5"/>
    </row>
    <row r="367" ht="12">
      <c r="N367" s="5"/>
    </row>
    <row r="368" ht="12">
      <c r="N368" s="5"/>
    </row>
    <row r="369" ht="12">
      <c r="N369" s="5"/>
    </row>
    <row r="370" spans="1:14" ht="12">
      <c r="A370" s="145"/>
      <c r="B370" s="237" t="s">
        <v>188</v>
      </c>
      <c r="C370" s="145"/>
      <c r="D370" s="235"/>
      <c r="N370" s="5"/>
    </row>
    <row r="371" ht="12">
      <c r="N371" s="5"/>
    </row>
    <row r="402" ht="12">
      <c r="N402" s="5"/>
    </row>
    <row r="403" ht="12">
      <c r="N403" s="5"/>
    </row>
    <row r="404" ht="12">
      <c r="N404" s="5"/>
    </row>
    <row r="405" ht="12">
      <c r="N405" s="5"/>
    </row>
    <row r="406" ht="12">
      <c r="N406" s="5"/>
    </row>
    <row r="407" ht="12">
      <c r="N407" s="5"/>
    </row>
    <row r="408" ht="12">
      <c r="N408" s="5"/>
    </row>
    <row r="409" ht="12">
      <c r="N409" s="5"/>
    </row>
    <row r="410" ht="12">
      <c r="N410" s="5"/>
    </row>
    <row r="411" ht="12">
      <c r="N411" s="5"/>
    </row>
    <row r="412" ht="12">
      <c r="N412" s="5"/>
    </row>
    <row r="413" ht="12">
      <c r="N413" s="5"/>
    </row>
    <row r="414" ht="12">
      <c r="N414" s="5"/>
    </row>
    <row r="415" ht="12">
      <c r="N415" s="5"/>
    </row>
    <row r="416" spans="1:14" ht="12">
      <c r="A416" s="145"/>
      <c r="B416" s="237" t="s">
        <v>188</v>
      </c>
      <c r="C416" s="145"/>
      <c r="D416" s="235"/>
      <c r="N416" s="5"/>
    </row>
    <row r="417" ht="12">
      <c r="N417" s="5"/>
    </row>
    <row r="452" ht="12">
      <c r="N452" s="5"/>
    </row>
    <row r="453" ht="12">
      <c r="N453" s="5"/>
    </row>
    <row r="454" ht="12">
      <c r="N454" s="5"/>
    </row>
    <row r="455" ht="12">
      <c r="N455" s="5"/>
    </row>
    <row r="456" ht="12">
      <c r="N456" s="5"/>
    </row>
    <row r="457" ht="12">
      <c r="N457" s="5"/>
    </row>
    <row r="458" ht="12">
      <c r="N458" s="5"/>
    </row>
    <row r="459" ht="12">
      <c r="N459" s="5"/>
    </row>
    <row r="460" ht="12">
      <c r="N460" s="5"/>
    </row>
    <row r="461" ht="12">
      <c r="N461" s="5"/>
    </row>
    <row r="462" ht="12">
      <c r="N462" s="5"/>
    </row>
    <row r="463" ht="12">
      <c r="N463" s="5"/>
    </row>
    <row r="464" ht="12">
      <c r="N464" s="5"/>
    </row>
    <row r="465" ht="12">
      <c r="N465" s="5"/>
    </row>
    <row r="466" spans="1:14" ht="12">
      <c r="A466" s="145"/>
      <c r="B466" s="237" t="s">
        <v>188</v>
      </c>
      <c r="C466" s="145"/>
      <c r="D466" s="235"/>
      <c r="N466" s="5"/>
    </row>
    <row r="467" ht="12">
      <c r="N467" s="5"/>
    </row>
    <row r="502" ht="12">
      <c r="N502" s="5"/>
    </row>
    <row r="503" ht="12">
      <c r="N503" s="5"/>
    </row>
    <row r="504" ht="12">
      <c r="N504" s="5"/>
    </row>
    <row r="505" ht="12">
      <c r="N505" s="5"/>
    </row>
    <row r="506" ht="12">
      <c r="N506" s="5"/>
    </row>
    <row r="507" ht="12">
      <c r="N507" s="5"/>
    </row>
    <row r="508" ht="12">
      <c r="N508" s="5"/>
    </row>
    <row r="509" ht="12">
      <c r="N509" s="5"/>
    </row>
    <row r="510" ht="12">
      <c r="N510" s="5"/>
    </row>
    <row r="511" ht="12">
      <c r="N511" s="5"/>
    </row>
    <row r="512" ht="12">
      <c r="N512" s="5"/>
    </row>
    <row r="513" ht="12">
      <c r="N513" s="5"/>
    </row>
    <row r="514" ht="12">
      <c r="N514" s="5"/>
    </row>
    <row r="515" ht="12">
      <c r="N515" s="5"/>
    </row>
    <row r="516" spans="1:14" ht="12">
      <c r="A516" s="145"/>
      <c r="B516" s="237" t="s">
        <v>188</v>
      </c>
      <c r="C516" s="145"/>
      <c r="D516" s="235"/>
      <c r="N516" s="5"/>
    </row>
    <row r="517" ht="12">
      <c r="N517" s="5"/>
    </row>
    <row r="552" ht="12">
      <c r="N552" s="5"/>
    </row>
    <row r="553" ht="12">
      <c r="N553" s="5"/>
    </row>
    <row r="554" ht="12">
      <c r="N554" s="5"/>
    </row>
    <row r="555" ht="12">
      <c r="N555" s="5"/>
    </row>
    <row r="556" ht="12">
      <c r="N556" s="5"/>
    </row>
    <row r="557" ht="12">
      <c r="N557" s="5"/>
    </row>
    <row r="558" ht="12">
      <c r="N558" s="5"/>
    </row>
    <row r="559" ht="12">
      <c r="N559" s="5"/>
    </row>
    <row r="560" ht="12">
      <c r="N560" s="5"/>
    </row>
    <row r="561" ht="12">
      <c r="N561" s="5"/>
    </row>
    <row r="562" ht="12">
      <c r="N562" s="5"/>
    </row>
    <row r="563" ht="12">
      <c r="N563" s="5"/>
    </row>
    <row r="564" ht="12">
      <c r="N564" s="5"/>
    </row>
    <row r="565" ht="12">
      <c r="N565" s="5"/>
    </row>
    <row r="566" spans="1:14" ht="12">
      <c r="A566" s="145"/>
      <c r="B566" s="237" t="s">
        <v>188</v>
      </c>
      <c r="C566" s="145"/>
      <c r="D566" s="235"/>
      <c r="N566" s="5"/>
    </row>
    <row r="567" ht="12">
      <c r="N567" s="5"/>
    </row>
    <row r="602" ht="12">
      <c r="N602" s="5"/>
    </row>
    <row r="603" ht="12">
      <c r="N603" s="5"/>
    </row>
    <row r="604" ht="12">
      <c r="N604" s="5"/>
    </row>
    <row r="605" ht="12">
      <c r="N605" s="5"/>
    </row>
    <row r="606" ht="12">
      <c r="N606" s="5"/>
    </row>
    <row r="607" ht="12">
      <c r="N607" s="5"/>
    </row>
    <row r="608" ht="12">
      <c r="N608" s="5"/>
    </row>
    <row r="609" ht="12">
      <c r="N609" s="5"/>
    </row>
    <row r="610" ht="12">
      <c r="N610" s="5"/>
    </row>
    <row r="611" ht="12">
      <c r="N611" s="5"/>
    </row>
    <row r="612" ht="12">
      <c r="N612" s="5"/>
    </row>
    <row r="613" ht="12">
      <c r="N613" s="5"/>
    </row>
    <row r="614" ht="12">
      <c r="N614" s="5"/>
    </row>
    <row r="615" ht="12">
      <c r="N615" s="5"/>
    </row>
    <row r="616" spans="1:14" ht="12">
      <c r="A616" s="145"/>
      <c r="B616" s="237" t="s">
        <v>188</v>
      </c>
      <c r="C616" s="145"/>
      <c r="D616" s="235"/>
      <c r="N616" s="5"/>
    </row>
    <row r="617" ht="12">
      <c r="N617" s="5"/>
    </row>
    <row r="652" ht="12">
      <c r="N652" s="5"/>
    </row>
    <row r="653" ht="12">
      <c r="N653" s="5"/>
    </row>
    <row r="654" ht="12">
      <c r="N654" s="5"/>
    </row>
    <row r="655" ht="12">
      <c r="N655" s="5"/>
    </row>
    <row r="656" ht="12">
      <c r="N656" s="5"/>
    </row>
    <row r="657" ht="12">
      <c r="N657" s="5"/>
    </row>
    <row r="658" ht="12">
      <c r="N658" s="5"/>
    </row>
    <row r="659" ht="12">
      <c r="N659" s="5"/>
    </row>
    <row r="660" ht="12">
      <c r="N660" s="5"/>
    </row>
    <row r="661" ht="12">
      <c r="N661" s="5"/>
    </row>
    <row r="662" ht="12">
      <c r="N662" s="5"/>
    </row>
    <row r="663" ht="12">
      <c r="N663" s="5"/>
    </row>
    <row r="664" ht="12">
      <c r="N664" s="5"/>
    </row>
    <row r="665" ht="12">
      <c r="N665" s="5"/>
    </row>
    <row r="666" spans="1:14" ht="12">
      <c r="A666" s="145"/>
      <c r="B666" s="237" t="s">
        <v>188</v>
      </c>
      <c r="C666" s="145"/>
      <c r="D666" s="235"/>
      <c r="N666" s="5"/>
    </row>
    <row r="667" ht="12">
      <c r="N667" s="5"/>
    </row>
    <row r="702" ht="12">
      <c r="N702" s="5"/>
    </row>
    <row r="703" ht="12">
      <c r="N703" s="5"/>
    </row>
    <row r="704" ht="12">
      <c r="N704" s="5"/>
    </row>
    <row r="705" ht="12">
      <c r="N705" s="5"/>
    </row>
    <row r="706" ht="12">
      <c r="N706" s="5"/>
    </row>
    <row r="707" ht="12">
      <c r="N707" s="5"/>
    </row>
    <row r="708" ht="12">
      <c r="N708" s="5"/>
    </row>
    <row r="709" ht="12">
      <c r="N709" s="5"/>
    </row>
    <row r="710" ht="12">
      <c r="N710" s="5"/>
    </row>
    <row r="711" ht="12">
      <c r="N711" s="5"/>
    </row>
    <row r="712" ht="12">
      <c r="N712" s="5"/>
    </row>
    <row r="713" ht="12">
      <c r="N713" s="5"/>
    </row>
    <row r="714" ht="12">
      <c r="N714" s="5"/>
    </row>
    <row r="715" ht="12">
      <c r="N715" s="5"/>
    </row>
    <row r="716" spans="1:14" ht="12">
      <c r="A716" s="145"/>
      <c r="B716" s="237" t="s">
        <v>188</v>
      </c>
      <c r="C716" s="145"/>
      <c r="D716" s="235"/>
      <c r="N716" s="5"/>
    </row>
    <row r="717" ht="12">
      <c r="N717" s="5"/>
    </row>
    <row r="752" ht="12">
      <c r="N752" s="5"/>
    </row>
    <row r="753" ht="12">
      <c r="N753" s="5"/>
    </row>
    <row r="754" ht="12">
      <c r="N754" s="5"/>
    </row>
    <row r="755" ht="12">
      <c r="N755" s="5"/>
    </row>
    <row r="756" ht="12">
      <c r="N756" s="5"/>
    </row>
    <row r="757" ht="12">
      <c r="N757" s="5"/>
    </row>
    <row r="758" ht="12">
      <c r="N758" s="5"/>
    </row>
    <row r="759" ht="12">
      <c r="N759" s="5"/>
    </row>
    <row r="760" ht="12">
      <c r="N760" s="5"/>
    </row>
    <row r="761" ht="12">
      <c r="N761" s="5"/>
    </row>
    <row r="762" ht="12">
      <c r="N762" s="5"/>
    </row>
    <row r="763" ht="12">
      <c r="N763" s="5"/>
    </row>
    <row r="764" ht="12">
      <c r="N764" s="5"/>
    </row>
    <row r="765" ht="12">
      <c r="N765" s="5"/>
    </row>
    <row r="766" spans="1:14" ht="12">
      <c r="A766" s="145"/>
      <c r="B766" s="237" t="s">
        <v>188</v>
      </c>
      <c r="C766" s="145"/>
      <c r="D766" s="235"/>
      <c r="N766" s="5"/>
    </row>
    <row r="767" ht="12">
      <c r="N767" s="5"/>
    </row>
    <row r="802" ht="12">
      <c r="N802" s="5"/>
    </row>
    <row r="803" ht="12">
      <c r="N803" s="5"/>
    </row>
    <row r="804" ht="12">
      <c r="N804" s="5"/>
    </row>
    <row r="805" ht="12">
      <c r="N805" s="5"/>
    </row>
    <row r="806" ht="12">
      <c r="N806" s="5"/>
    </row>
    <row r="807" ht="12">
      <c r="N807" s="5"/>
    </row>
    <row r="808" ht="12">
      <c r="N808" s="5"/>
    </row>
    <row r="809" ht="12">
      <c r="N809" s="5"/>
    </row>
    <row r="810" ht="12">
      <c r="N810" s="5"/>
    </row>
    <row r="811" ht="12">
      <c r="N811" s="5"/>
    </row>
    <row r="812" ht="12">
      <c r="N812" s="5"/>
    </row>
    <row r="813" ht="12">
      <c r="N813" s="5"/>
    </row>
    <row r="814" ht="12">
      <c r="N814" s="5"/>
    </row>
    <row r="815" ht="12">
      <c r="N815" s="5"/>
    </row>
    <row r="816" spans="1:14" ht="12">
      <c r="A816" s="145"/>
      <c r="B816" s="237" t="s">
        <v>188</v>
      </c>
      <c r="C816" s="145"/>
      <c r="D816" s="235"/>
      <c r="N816" s="5"/>
    </row>
    <row r="817" ht="12">
      <c r="N817" s="5"/>
    </row>
    <row r="852" ht="12">
      <c r="N852" s="5"/>
    </row>
    <row r="853" ht="12">
      <c r="N853" s="5"/>
    </row>
    <row r="854" ht="12">
      <c r="N854" s="5"/>
    </row>
    <row r="855" ht="12">
      <c r="N855" s="5"/>
    </row>
    <row r="856" ht="12">
      <c r="N856" s="5"/>
    </row>
    <row r="857" ht="12">
      <c r="N857" s="5"/>
    </row>
    <row r="858" ht="12">
      <c r="N858" s="5"/>
    </row>
    <row r="859" ht="12">
      <c r="N859" s="5"/>
    </row>
    <row r="860" ht="12">
      <c r="N860" s="5"/>
    </row>
    <row r="861" ht="12">
      <c r="N861" s="5"/>
    </row>
    <row r="862" ht="12">
      <c r="N862" s="5"/>
    </row>
    <row r="863" ht="12">
      <c r="N863" s="5"/>
    </row>
    <row r="864" ht="12">
      <c r="N864" s="5"/>
    </row>
    <row r="865" ht="12">
      <c r="N865" s="5"/>
    </row>
    <row r="866" spans="1:14" ht="12">
      <c r="A866" s="145"/>
      <c r="B866" s="237" t="s">
        <v>188</v>
      </c>
      <c r="C866" s="145"/>
      <c r="D866" s="235"/>
      <c r="N866" s="5"/>
    </row>
    <row r="867" ht="12">
      <c r="N867" s="5"/>
    </row>
    <row r="901" spans="1:14" ht="12">
      <c r="A901" s="238"/>
      <c r="B901" s="238"/>
      <c r="C901" s="238"/>
      <c r="D901" s="238"/>
      <c r="E901" s="238"/>
      <c r="F901" s="238"/>
      <c r="G901" s="238"/>
      <c r="H901" s="238"/>
      <c r="I901" s="238"/>
      <c r="J901" s="238"/>
      <c r="K901" s="238"/>
      <c r="L901" s="238"/>
      <c r="M901" s="238"/>
      <c r="N901" s="239"/>
    </row>
    <row r="902" spans="1:14" ht="12">
      <c r="A902" s="238"/>
      <c r="B902" s="238"/>
      <c r="C902" s="238"/>
      <c r="D902" s="238"/>
      <c r="E902" s="238"/>
      <c r="F902" s="238"/>
      <c r="G902" s="238"/>
      <c r="H902" s="238"/>
      <c r="I902" s="238"/>
      <c r="J902" s="238"/>
      <c r="K902" s="238"/>
      <c r="L902" s="238"/>
      <c r="M902" s="238"/>
      <c r="N902" s="239"/>
    </row>
    <row r="903" spans="1:14" ht="12">
      <c r="A903" s="238"/>
      <c r="B903" s="238"/>
      <c r="C903" s="238"/>
      <c r="D903" s="238"/>
      <c r="E903" s="238"/>
      <c r="F903" s="238"/>
      <c r="G903" s="238"/>
      <c r="H903" s="238"/>
      <c r="I903" s="238"/>
      <c r="J903" s="238"/>
      <c r="K903" s="238"/>
      <c r="L903" s="238"/>
      <c r="M903" s="238"/>
      <c r="N903" s="239"/>
    </row>
    <row r="904" spans="1:14" ht="12">
      <c r="A904" s="238"/>
      <c r="B904" s="238"/>
      <c r="C904" s="238"/>
      <c r="D904" s="238"/>
      <c r="E904" s="238"/>
      <c r="F904" s="238"/>
      <c r="G904" s="238"/>
      <c r="H904" s="238"/>
      <c r="I904" s="238"/>
      <c r="J904" s="238"/>
      <c r="K904" s="238"/>
      <c r="L904" s="238"/>
      <c r="M904" s="238"/>
      <c r="N904" s="239"/>
    </row>
    <row r="905" spans="1:14" ht="12">
      <c r="A905" s="238"/>
      <c r="B905" s="238"/>
      <c r="C905" s="238"/>
      <c r="D905" s="238"/>
      <c r="E905" s="238"/>
      <c r="F905" s="238"/>
      <c r="G905" s="238"/>
      <c r="H905" s="238"/>
      <c r="I905" s="238"/>
      <c r="J905" s="238"/>
      <c r="K905" s="238"/>
      <c r="L905" s="238"/>
      <c r="M905" s="238"/>
      <c r="N905" s="239"/>
    </row>
    <row r="906" spans="1:14" ht="12">
      <c r="A906" s="238"/>
      <c r="B906" s="238"/>
      <c r="C906" s="238"/>
      <c r="D906" s="238"/>
      <c r="E906" s="238"/>
      <c r="F906" s="238"/>
      <c r="G906" s="238"/>
      <c r="H906" s="238"/>
      <c r="I906" s="238"/>
      <c r="J906" s="238"/>
      <c r="K906" s="238"/>
      <c r="L906" s="238"/>
      <c r="M906" s="238"/>
      <c r="N906" s="239"/>
    </row>
    <row r="907" spans="1:14" ht="12">
      <c r="A907" s="238"/>
      <c r="B907" s="238"/>
      <c r="C907" s="238"/>
      <c r="D907" s="238"/>
      <c r="E907" s="238"/>
      <c r="F907" s="238"/>
      <c r="G907" s="238"/>
      <c r="H907" s="238"/>
      <c r="I907" s="238"/>
      <c r="J907" s="238"/>
      <c r="K907" s="238"/>
      <c r="L907" s="238"/>
      <c r="M907" s="238"/>
      <c r="N907" s="239"/>
    </row>
    <row r="908" spans="1:14" ht="12">
      <c r="A908" s="238"/>
      <c r="B908" s="238"/>
      <c r="C908" s="238"/>
      <c r="D908" s="238"/>
      <c r="E908" s="238"/>
      <c r="F908" s="238"/>
      <c r="G908" s="238"/>
      <c r="H908" s="238"/>
      <c r="I908" s="238"/>
      <c r="J908" s="238"/>
      <c r="K908" s="238"/>
      <c r="L908" s="238"/>
      <c r="M908" s="238"/>
      <c r="N908" s="239"/>
    </row>
    <row r="909" spans="1:14" ht="12">
      <c r="A909" s="238"/>
      <c r="B909" s="238"/>
      <c r="C909" s="238"/>
      <c r="D909" s="238"/>
      <c r="E909" s="238"/>
      <c r="F909" s="238"/>
      <c r="G909" s="238"/>
      <c r="H909" s="238"/>
      <c r="I909" s="238"/>
      <c r="J909" s="238"/>
      <c r="K909" s="238"/>
      <c r="L909" s="238"/>
      <c r="M909" s="238"/>
      <c r="N909" s="239"/>
    </row>
    <row r="910" spans="1:14" ht="12">
      <c r="A910" s="238"/>
      <c r="B910" s="238"/>
      <c r="C910" s="238"/>
      <c r="D910" s="238"/>
      <c r="E910" s="238"/>
      <c r="F910" s="238"/>
      <c r="G910" s="238"/>
      <c r="H910" s="238"/>
      <c r="I910" s="238"/>
      <c r="J910" s="238"/>
      <c r="K910" s="238"/>
      <c r="L910" s="238"/>
      <c r="M910" s="238"/>
      <c r="N910" s="239"/>
    </row>
    <row r="911" spans="1:14" ht="12">
      <c r="A911" s="238"/>
      <c r="B911" s="238"/>
      <c r="C911" s="238"/>
      <c r="D911" s="238"/>
      <c r="E911" s="238"/>
      <c r="F911" s="238"/>
      <c r="G911" s="238"/>
      <c r="H911" s="238"/>
      <c r="I911" s="238"/>
      <c r="J911" s="238"/>
      <c r="K911" s="238"/>
      <c r="L911" s="238"/>
      <c r="M911" s="238"/>
      <c r="N911" s="239"/>
    </row>
    <row r="912" spans="1:14" ht="12">
      <c r="A912" s="238"/>
      <c r="B912" s="238"/>
      <c r="C912" s="238"/>
      <c r="D912" s="238"/>
      <c r="E912" s="238"/>
      <c r="F912" s="238"/>
      <c r="G912" s="238"/>
      <c r="H912" s="238"/>
      <c r="I912" s="238"/>
      <c r="J912" s="238"/>
      <c r="K912" s="238"/>
      <c r="L912" s="238"/>
      <c r="M912" s="238"/>
      <c r="N912" s="239"/>
    </row>
    <row r="913" spans="1:14" ht="12">
      <c r="A913" s="238"/>
      <c r="B913" s="238"/>
      <c r="C913" s="238"/>
      <c r="D913" s="238"/>
      <c r="E913" s="238"/>
      <c r="F913" s="238"/>
      <c r="G913" s="238"/>
      <c r="H913" s="238"/>
      <c r="I913" s="238"/>
      <c r="J913" s="238"/>
      <c r="K913" s="238"/>
      <c r="L913" s="238"/>
      <c r="M913" s="238"/>
      <c r="N913" s="239"/>
    </row>
    <row r="914" spans="1:14" ht="12">
      <c r="A914" s="238"/>
      <c r="B914" s="238"/>
      <c r="C914" s="238"/>
      <c r="D914" s="238"/>
      <c r="E914" s="238"/>
      <c r="F914" s="238"/>
      <c r="G914" s="238"/>
      <c r="H914" s="238"/>
      <c r="I914" s="238"/>
      <c r="J914" s="238"/>
      <c r="K914" s="238"/>
      <c r="L914" s="238"/>
      <c r="M914" s="238"/>
      <c r="N914" s="239"/>
    </row>
    <row r="915" spans="1:14" ht="12">
      <c r="A915" s="238"/>
      <c r="B915" s="237" t="s">
        <v>190</v>
      </c>
      <c r="C915" s="238"/>
      <c r="D915" s="238"/>
      <c r="E915" s="238"/>
      <c r="F915" s="238"/>
      <c r="G915" s="238"/>
      <c r="H915" s="238"/>
      <c r="I915" s="238"/>
      <c r="J915" s="238"/>
      <c r="K915" s="238"/>
      <c r="L915" s="238"/>
      <c r="M915" s="238"/>
      <c r="N915" s="239"/>
    </row>
    <row r="917" spans="1:14" ht="12">
      <c r="A917" s="238"/>
      <c r="B917" s="238"/>
      <c r="C917" s="238"/>
      <c r="D917" s="238"/>
      <c r="E917" s="238"/>
      <c r="F917" s="238"/>
      <c r="G917" s="238"/>
      <c r="H917" s="238"/>
      <c r="I917" s="238"/>
      <c r="J917" s="238"/>
      <c r="K917" s="238"/>
      <c r="L917" s="238"/>
      <c r="M917" s="238"/>
      <c r="N917" s="239"/>
    </row>
    <row r="951" spans="1:14" ht="12">
      <c r="A951" s="238"/>
      <c r="B951" s="238"/>
      <c r="C951" s="238"/>
      <c r="D951" s="238"/>
      <c r="E951" s="238"/>
      <c r="F951" s="238"/>
      <c r="G951" s="238"/>
      <c r="H951" s="238"/>
      <c r="I951" s="238"/>
      <c r="J951" s="238"/>
      <c r="K951" s="238"/>
      <c r="L951" s="238"/>
      <c r="M951" s="238"/>
      <c r="N951" s="239"/>
    </row>
    <row r="952" spans="1:14" ht="12">
      <c r="A952" s="238"/>
      <c r="B952" s="238"/>
      <c r="C952" s="238"/>
      <c r="D952" s="238"/>
      <c r="E952" s="238"/>
      <c r="F952" s="238"/>
      <c r="G952" s="238"/>
      <c r="H952" s="238"/>
      <c r="I952" s="238"/>
      <c r="J952" s="238"/>
      <c r="K952" s="238"/>
      <c r="L952" s="238"/>
      <c r="M952" s="238"/>
      <c r="N952" s="239"/>
    </row>
    <row r="953" spans="1:14" ht="12">
      <c r="A953" s="238"/>
      <c r="B953" s="238"/>
      <c r="C953" s="238"/>
      <c r="D953" s="238"/>
      <c r="E953" s="238"/>
      <c r="F953" s="238"/>
      <c r="G953" s="238"/>
      <c r="H953" s="238"/>
      <c r="I953" s="238"/>
      <c r="J953" s="238"/>
      <c r="K953" s="238"/>
      <c r="L953" s="238"/>
      <c r="M953" s="238"/>
      <c r="N953" s="239"/>
    </row>
    <row r="954" spans="1:14" ht="12">
      <c r="A954" s="238"/>
      <c r="B954" s="238"/>
      <c r="C954" s="238"/>
      <c r="D954" s="238"/>
      <c r="E954" s="238"/>
      <c r="F954" s="238"/>
      <c r="G954" s="238"/>
      <c r="H954" s="238"/>
      <c r="I954" s="238"/>
      <c r="J954" s="238"/>
      <c r="K954" s="238"/>
      <c r="L954" s="238"/>
      <c r="M954" s="238"/>
      <c r="N954" s="239"/>
    </row>
    <row r="955" spans="1:14" ht="12">
      <c r="A955" s="238"/>
      <c r="B955" s="238"/>
      <c r="C955" s="238"/>
      <c r="D955" s="238"/>
      <c r="E955" s="238"/>
      <c r="F955" s="238"/>
      <c r="G955" s="238"/>
      <c r="H955" s="238"/>
      <c r="I955" s="238"/>
      <c r="J955" s="238"/>
      <c r="K955" s="238"/>
      <c r="L955" s="238"/>
      <c r="M955" s="238"/>
      <c r="N955" s="239"/>
    </row>
    <row r="956" spans="1:14" ht="12">
      <c r="A956" s="238"/>
      <c r="B956" s="238"/>
      <c r="C956" s="238"/>
      <c r="D956" s="238"/>
      <c r="E956" s="238"/>
      <c r="F956" s="238"/>
      <c r="G956" s="238"/>
      <c r="H956" s="238"/>
      <c r="I956" s="238"/>
      <c r="J956" s="238"/>
      <c r="K956" s="238"/>
      <c r="L956" s="238"/>
      <c r="M956" s="238"/>
      <c r="N956" s="239"/>
    </row>
    <row r="957" spans="1:14" ht="12">
      <c r="A957" s="238"/>
      <c r="B957" s="238"/>
      <c r="C957" s="238"/>
      <c r="D957" s="238"/>
      <c r="E957" s="238"/>
      <c r="F957" s="238"/>
      <c r="G957" s="238"/>
      <c r="H957" s="238"/>
      <c r="I957" s="238"/>
      <c r="J957" s="238"/>
      <c r="K957" s="238"/>
      <c r="L957" s="238"/>
      <c r="M957" s="238"/>
      <c r="N957" s="239"/>
    </row>
    <row r="958" spans="1:14" ht="12">
      <c r="A958" s="238"/>
      <c r="B958" s="238"/>
      <c r="C958" s="238"/>
      <c r="D958" s="238"/>
      <c r="E958" s="238"/>
      <c r="F958" s="238"/>
      <c r="G958" s="238"/>
      <c r="H958" s="238"/>
      <c r="I958" s="238"/>
      <c r="J958" s="238"/>
      <c r="K958" s="238"/>
      <c r="L958" s="238"/>
      <c r="M958" s="238"/>
      <c r="N958" s="239"/>
    </row>
    <row r="959" spans="1:14" ht="12">
      <c r="A959" s="238"/>
      <c r="B959" s="238"/>
      <c r="C959" s="238"/>
      <c r="D959" s="238"/>
      <c r="E959" s="238"/>
      <c r="F959" s="238"/>
      <c r="G959" s="238"/>
      <c r="H959" s="238"/>
      <c r="I959" s="238"/>
      <c r="J959" s="238"/>
      <c r="K959" s="238"/>
      <c r="L959" s="238"/>
      <c r="M959" s="238"/>
      <c r="N959" s="239"/>
    </row>
    <row r="960" spans="1:14" ht="12">
      <c r="A960" s="238"/>
      <c r="B960" s="238"/>
      <c r="C960" s="238"/>
      <c r="D960" s="238"/>
      <c r="E960" s="238"/>
      <c r="F960" s="238"/>
      <c r="G960" s="238"/>
      <c r="H960" s="238"/>
      <c r="I960" s="238"/>
      <c r="J960" s="238"/>
      <c r="K960" s="238"/>
      <c r="L960" s="238"/>
      <c r="M960" s="238"/>
      <c r="N960" s="239"/>
    </row>
    <row r="961" spans="1:14" ht="12">
      <c r="A961" s="238"/>
      <c r="B961" s="238"/>
      <c r="C961" s="238"/>
      <c r="D961" s="238"/>
      <c r="E961" s="238"/>
      <c r="F961" s="238"/>
      <c r="G961" s="238"/>
      <c r="H961" s="238"/>
      <c r="I961" s="238"/>
      <c r="J961" s="238"/>
      <c r="K961" s="238"/>
      <c r="L961" s="238"/>
      <c r="M961" s="238"/>
      <c r="N961" s="239"/>
    </row>
    <row r="962" spans="1:14" ht="12">
      <c r="A962" s="238"/>
      <c r="B962" s="238"/>
      <c r="C962" s="238"/>
      <c r="D962" s="238"/>
      <c r="E962" s="238"/>
      <c r="F962" s="238"/>
      <c r="G962" s="238"/>
      <c r="H962" s="238"/>
      <c r="I962" s="238"/>
      <c r="J962" s="238"/>
      <c r="K962" s="238"/>
      <c r="L962" s="238"/>
      <c r="M962" s="238"/>
      <c r="N962" s="239"/>
    </row>
    <row r="963" spans="1:14" ht="12">
      <c r="A963" s="238"/>
      <c r="B963" s="238"/>
      <c r="C963" s="238"/>
      <c r="D963" s="238"/>
      <c r="E963" s="238"/>
      <c r="F963" s="238"/>
      <c r="G963" s="238"/>
      <c r="H963" s="238"/>
      <c r="I963" s="238"/>
      <c r="J963" s="238"/>
      <c r="K963" s="238"/>
      <c r="L963" s="238"/>
      <c r="M963" s="238"/>
      <c r="N963" s="239"/>
    </row>
    <row r="964" spans="1:14" ht="12">
      <c r="A964" s="238"/>
      <c r="B964" s="238"/>
      <c r="C964" s="238"/>
      <c r="D964" s="238"/>
      <c r="E964" s="238"/>
      <c r="F964" s="238"/>
      <c r="G964" s="238"/>
      <c r="H964" s="238"/>
      <c r="I964" s="238"/>
      <c r="J964" s="238"/>
      <c r="K964" s="238"/>
      <c r="L964" s="238"/>
      <c r="M964" s="238"/>
      <c r="N964" s="239"/>
    </row>
    <row r="965" spans="1:14" ht="12">
      <c r="A965" s="238"/>
      <c r="B965" s="237" t="s">
        <v>190</v>
      </c>
      <c r="C965" s="238"/>
      <c r="D965" s="238"/>
      <c r="E965" s="238"/>
      <c r="F965" s="238"/>
      <c r="G965" s="238"/>
      <c r="H965" s="238"/>
      <c r="I965" s="238"/>
      <c r="J965" s="238"/>
      <c r="K965" s="238"/>
      <c r="L965" s="238"/>
      <c r="M965" s="238"/>
      <c r="N965" s="239"/>
    </row>
    <row r="1001" spans="1:14" ht="12">
      <c r="A1001" s="238"/>
      <c r="B1001" s="238"/>
      <c r="C1001" s="238"/>
      <c r="D1001" s="238"/>
      <c r="E1001" s="238"/>
      <c r="F1001" s="238"/>
      <c r="G1001" s="238"/>
      <c r="H1001" s="238"/>
      <c r="I1001" s="238"/>
      <c r="J1001" s="238"/>
      <c r="K1001" s="238"/>
      <c r="L1001" s="238"/>
      <c r="M1001" s="238"/>
      <c r="N1001" s="239"/>
    </row>
    <row r="1002" spans="1:14" ht="12">
      <c r="A1002" s="238"/>
      <c r="B1002" s="238"/>
      <c r="C1002" s="238"/>
      <c r="D1002" s="238"/>
      <c r="E1002" s="238"/>
      <c r="F1002" s="238"/>
      <c r="G1002" s="238"/>
      <c r="H1002" s="238"/>
      <c r="I1002" s="238"/>
      <c r="J1002" s="238"/>
      <c r="K1002" s="238"/>
      <c r="L1002" s="238"/>
      <c r="M1002" s="238"/>
      <c r="N1002" s="239"/>
    </row>
    <row r="1003" spans="1:14" ht="12">
      <c r="A1003" s="238"/>
      <c r="B1003" s="238"/>
      <c r="C1003" s="238"/>
      <c r="D1003" s="238"/>
      <c r="E1003" s="238"/>
      <c r="F1003" s="238"/>
      <c r="G1003" s="238"/>
      <c r="H1003" s="238"/>
      <c r="I1003" s="238"/>
      <c r="J1003" s="238"/>
      <c r="K1003" s="238"/>
      <c r="L1003" s="238"/>
      <c r="M1003" s="238"/>
      <c r="N1003" s="239"/>
    </row>
    <row r="1004" spans="1:14" ht="12">
      <c r="A1004" s="238"/>
      <c r="B1004" s="238"/>
      <c r="C1004" s="238"/>
      <c r="D1004" s="238"/>
      <c r="E1004" s="238"/>
      <c r="F1004" s="238"/>
      <c r="G1004" s="238"/>
      <c r="H1004" s="238"/>
      <c r="I1004" s="238"/>
      <c r="J1004" s="238"/>
      <c r="K1004" s="238"/>
      <c r="L1004" s="238"/>
      <c r="M1004" s="238"/>
      <c r="N1004" s="239"/>
    </row>
    <row r="1005" spans="1:14" ht="12">
      <c r="A1005" s="238"/>
      <c r="B1005" s="238"/>
      <c r="C1005" s="238"/>
      <c r="D1005" s="238"/>
      <c r="E1005" s="238"/>
      <c r="F1005" s="238"/>
      <c r="G1005" s="238"/>
      <c r="H1005" s="238"/>
      <c r="I1005" s="238"/>
      <c r="J1005" s="238"/>
      <c r="K1005" s="238"/>
      <c r="L1005" s="238"/>
      <c r="M1005" s="238"/>
      <c r="N1005" s="239"/>
    </row>
    <row r="1006" spans="1:14" ht="12">
      <c r="A1006" s="238"/>
      <c r="B1006" s="238"/>
      <c r="C1006" s="238"/>
      <c r="D1006" s="238"/>
      <c r="E1006" s="238"/>
      <c r="F1006" s="238"/>
      <c r="G1006" s="238"/>
      <c r="H1006" s="238"/>
      <c r="I1006" s="238"/>
      <c r="J1006" s="238"/>
      <c r="K1006" s="238"/>
      <c r="L1006" s="238"/>
      <c r="M1006" s="238"/>
      <c r="N1006" s="239"/>
    </row>
    <row r="1007" spans="1:14" ht="12">
      <c r="A1007" s="238"/>
      <c r="B1007" s="238"/>
      <c r="C1007" s="238"/>
      <c r="D1007" s="238"/>
      <c r="E1007" s="238"/>
      <c r="F1007" s="238"/>
      <c r="G1007" s="238"/>
      <c r="H1007" s="238"/>
      <c r="I1007" s="238"/>
      <c r="J1007" s="238"/>
      <c r="K1007" s="238"/>
      <c r="L1007" s="238"/>
      <c r="M1007" s="238"/>
      <c r="N1007" s="239"/>
    </row>
    <row r="1008" spans="1:14" ht="12">
      <c r="A1008" s="238"/>
      <c r="B1008" s="238"/>
      <c r="C1008" s="238"/>
      <c r="D1008" s="238"/>
      <c r="E1008" s="238"/>
      <c r="F1008" s="238"/>
      <c r="G1008" s="238"/>
      <c r="H1008" s="238"/>
      <c r="I1008" s="238"/>
      <c r="J1008" s="238"/>
      <c r="K1008" s="238"/>
      <c r="L1008" s="238"/>
      <c r="M1008" s="238"/>
      <c r="N1008" s="239"/>
    </row>
    <row r="1009" spans="1:14" ht="12">
      <c r="A1009" s="238"/>
      <c r="B1009" s="238"/>
      <c r="C1009" s="238"/>
      <c r="D1009" s="238"/>
      <c r="E1009" s="238"/>
      <c r="F1009" s="238"/>
      <c r="G1009" s="238"/>
      <c r="H1009" s="238"/>
      <c r="I1009" s="238"/>
      <c r="J1009" s="238"/>
      <c r="K1009" s="238"/>
      <c r="L1009" s="238"/>
      <c r="M1009" s="238"/>
      <c r="N1009" s="239"/>
    </row>
    <row r="1010" spans="1:14" ht="12">
      <c r="A1010" s="238"/>
      <c r="B1010" s="238"/>
      <c r="C1010" s="238"/>
      <c r="D1010" s="238"/>
      <c r="E1010" s="238"/>
      <c r="F1010" s="238"/>
      <c r="G1010" s="238"/>
      <c r="H1010" s="238"/>
      <c r="I1010" s="238"/>
      <c r="J1010" s="238"/>
      <c r="K1010" s="238"/>
      <c r="L1010" s="238"/>
      <c r="M1010" s="238"/>
      <c r="N1010" s="239"/>
    </row>
    <row r="1011" spans="1:14" ht="12">
      <c r="A1011" s="238"/>
      <c r="B1011" s="238"/>
      <c r="C1011" s="238"/>
      <c r="D1011" s="238"/>
      <c r="E1011" s="238"/>
      <c r="F1011" s="238"/>
      <c r="G1011" s="238"/>
      <c r="H1011" s="238"/>
      <c r="I1011" s="238"/>
      <c r="J1011" s="238"/>
      <c r="K1011" s="238"/>
      <c r="L1011" s="238"/>
      <c r="M1011" s="238"/>
      <c r="N1011" s="239"/>
    </row>
    <row r="1012" spans="1:14" ht="12">
      <c r="A1012" s="238"/>
      <c r="B1012" s="238"/>
      <c r="C1012" s="238"/>
      <c r="D1012" s="238"/>
      <c r="E1012" s="238"/>
      <c r="F1012" s="238"/>
      <c r="G1012" s="238"/>
      <c r="H1012" s="238"/>
      <c r="I1012" s="238"/>
      <c r="J1012" s="238"/>
      <c r="K1012" s="238"/>
      <c r="L1012" s="238"/>
      <c r="M1012" s="238"/>
      <c r="N1012" s="239"/>
    </row>
    <row r="1013" spans="1:14" ht="12">
      <c r="A1013" s="238"/>
      <c r="B1013" s="238"/>
      <c r="C1013" s="238"/>
      <c r="D1013" s="238"/>
      <c r="E1013" s="238"/>
      <c r="F1013" s="238"/>
      <c r="G1013" s="238"/>
      <c r="H1013" s="238"/>
      <c r="I1013" s="238"/>
      <c r="J1013" s="238"/>
      <c r="K1013" s="238"/>
      <c r="L1013" s="238"/>
      <c r="M1013" s="238"/>
      <c r="N1013" s="239"/>
    </row>
    <row r="1014" spans="1:14" ht="12">
      <c r="A1014" s="238"/>
      <c r="B1014" s="238"/>
      <c r="C1014" s="238"/>
      <c r="D1014" s="238"/>
      <c r="E1014" s="238"/>
      <c r="F1014" s="238"/>
      <c r="G1014" s="238"/>
      <c r="H1014" s="238"/>
      <c r="I1014" s="238"/>
      <c r="J1014" s="238"/>
      <c r="K1014" s="238"/>
      <c r="L1014" s="238"/>
      <c r="M1014" s="238"/>
      <c r="N1014" s="239"/>
    </row>
    <row r="1015" spans="1:14" ht="12">
      <c r="A1015" s="238"/>
      <c r="B1015" s="238"/>
      <c r="C1015" s="238"/>
      <c r="D1015" s="238"/>
      <c r="E1015" s="238"/>
      <c r="F1015" s="238"/>
      <c r="G1015" s="238"/>
      <c r="H1015" s="238"/>
      <c r="I1015" s="238"/>
      <c r="J1015" s="238"/>
      <c r="K1015" s="238"/>
      <c r="L1015" s="238"/>
      <c r="M1015" s="238"/>
      <c r="N1015" s="239"/>
    </row>
    <row r="1016" spans="1:14" ht="12">
      <c r="A1016" s="238"/>
      <c r="B1016" s="238"/>
      <c r="C1016" s="238"/>
      <c r="D1016" s="238"/>
      <c r="E1016" s="238"/>
      <c r="F1016" s="238"/>
      <c r="G1016" s="238"/>
      <c r="H1016" s="238"/>
      <c r="I1016" s="238"/>
      <c r="J1016" s="238"/>
      <c r="K1016" s="238"/>
      <c r="L1016" s="238"/>
      <c r="M1016" s="238"/>
      <c r="N1016" s="239"/>
    </row>
    <row r="1017" spans="1:14" ht="12">
      <c r="A1017" s="238"/>
      <c r="B1017" s="238"/>
      <c r="C1017" s="238"/>
      <c r="D1017" s="238"/>
      <c r="E1017" s="238"/>
      <c r="F1017" s="238"/>
      <c r="G1017" s="238"/>
      <c r="H1017" s="238"/>
      <c r="I1017" s="238"/>
      <c r="J1017" s="238"/>
      <c r="K1017" s="238"/>
      <c r="L1017" s="238"/>
      <c r="M1017" s="238"/>
      <c r="N1017" s="239"/>
    </row>
    <row r="1018" spans="1:14" ht="12">
      <c r="A1018" s="238"/>
      <c r="B1018" s="238"/>
      <c r="C1018" s="238"/>
      <c r="D1018" s="238"/>
      <c r="E1018" s="238"/>
      <c r="F1018" s="238"/>
      <c r="G1018" s="238"/>
      <c r="H1018" s="238"/>
      <c r="I1018" s="238"/>
      <c r="J1018" s="238"/>
      <c r="K1018" s="238"/>
      <c r="L1018" s="238"/>
      <c r="M1018" s="238"/>
      <c r="N1018" s="239"/>
    </row>
    <row r="1019" spans="1:14" ht="12">
      <c r="A1019" s="238"/>
      <c r="B1019" s="238"/>
      <c r="C1019" s="238"/>
      <c r="D1019" s="238"/>
      <c r="E1019" s="238"/>
      <c r="F1019" s="238"/>
      <c r="G1019" s="238"/>
      <c r="H1019" s="238"/>
      <c r="I1019" s="238"/>
      <c r="J1019" s="238"/>
      <c r="K1019" s="238"/>
      <c r="L1019" s="238"/>
      <c r="M1019" s="238"/>
      <c r="N1019" s="239"/>
    </row>
    <row r="1020" spans="1:14" ht="12">
      <c r="A1020" s="238"/>
      <c r="B1020" s="238"/>
      <c r="C1020" s="238"/>
      <c r="D1020" s="238"/>
      <c r="E1020" s="238"/>
      <c r="F1020" s="238"/>
      <c r="G1020" s="238"/>
      <c r="H1020" s="238"/>
      <c r="I1020" s="238"/>
      <c r="J1020" s="238"/>
      <c r="K1020" s="238"/>
      <c r="L1020" s="238"/>
      <c r="M1020" s="238"/>
      <c r="N1020" s="239"/>
    </row>
    <row r="1021" spans="1:14" ht="12">
      <c r="A1021" s="238"/>
      <c r="B1021" s="238"/>
      <c r="C1021" s="238"/>
      <c r="D1021" s="238"/>
      <c r="E1021" s="238"/>
      <c r="F1021" s="238"/>
      <c r="G1021" s="238"/>
      <c r="H1021" s="238"/>
      <c r="I1021" s="238"/>
      <c r="J1021" s="238"/>
      <c r="K1021" s="238"/>
      <c r="L1021" s="238"/>
      <c r="M1021" s="238"/>
      <c r="N1021" s="239"/>
    </row>
    <row r="1022" spans="1:14" ht="12">
      <c r="A1022" s="238"/>
      <c r="B1022" s="238"/>
      <c r="C1022" s="238"/>
      <c r="D1022" s="238"/>
      <c r="E1022" s="238"/>
      <c r="F1022" s="238"/>
      <c r="G1022" s="238"/>
      <c r="H1022" s="238"/>
      <c r="I1022" s="238"/>
      <c r="J1022" s="238"/>
      <c r="K1022" s="238"/>
      <c r="L1022" s="238"/>
      <c r="M1022" s="238"/>
      <c r="N1022" s="239"/>
    </row>
    <row r="1023" spans="1:14" ht="12">
      <c r="A1023" s="238"/>
      <c r="B1023" s="238"/>
      <c r="C1023" s="238"/>
      <c r="D1023" s="238"/>
      <c r="E1023" s="238"/>
      <c r="F1023" s="238"/>
      <c r="G1023" s="238"/>
      <c r="H1023" s="238"/>
      <c r="I1023" s="238"/>
      <c r="J1023" s="238"/>
      <c r="K1023" s="238"/>
      <c r="L1023" s="238"/>
      <c r="M1023" s="238"/>
      <c r="N1023" s="239"/>
    </row>
    <row r="1024" spans="1:14" ht="12">
      <c r="A1024" s="238"/>
      <c r="B1024" s="238"/>
      <c r="C1024" s="238"/>
      <c r="D1024" s="238"/>
      <c r="E1024" s="238"/>
      <c r="F1024" s="238"/>
      <c r="G1024" s="238"/>
      <c r="H1024" s="238"/>
      <c r="I1024" s="238"/>
      <c r="J1024" s="238"/>
      <c r="K1024" s="238"/>
      <c r="L1024" s="238"/>
      <c r="M1024" s="238"/>
      <c r="N1024" s="239"/>
    </row>
    <row r="1025" spans="1:14" ht="12">
      <c r="A1025" s="238"/>
      <c r="B1025" s="238"/>
      <c r="C1025" s="238"/>
      <c r="D1025" s="238"/>
      <c r="E1025" s="238"/>
      <c r="F1025" s="238"/>
      <c r="G1025" s="238"/>
      <c r="H1025" s="238"/>
      <c r="I1025" s="238"/>
      <c r="J1025" s="238"/>
      <c r="K1025" s="238"/>
      <c r="L1025" s="238"/>
      <c r="M1025" s="238"/>
      <c r="N1025" s="239"/>
    </row>
    <row r="1026" spans="1:14" ht="12">
      <c r="A1026" s="238"/>
      <c r="B1026" s="238"/>
      <c r="C1026" s="238"/>
      <c r="D1026" s="238"/>
      <c r="E1026" s="238"/>
      <c r="F1026" s="238"/>
      <c r="G1026" s="238"/>
      <c r="H1026" s="238"/>
      <c r="I1026" s="238"/>
      <c r="J1026" s="238"/>
      <c r="K1026" s="238"/>
      <c r="L1026" s="238"/>
      <c r="M1026" s="238"/>
      <c r="N1026" s="239"/>
    </row>
    <row r="1027" spans="1:14" ht="12">
      <c r="A1027" s="238"/>
      <c r="B1027" s="237" t="s">
        <v>190</v>
      </c>
      <c r="C1027" s="238"/>
      <c r="D1027" s="238"/>
      <c r="E1027" s="238"/>
      <c r="F1027" s="238"/>
      <c r="G1027" s="238"/>
      <c r="H1027" s="238"/>
      <c r="I1027" s="238"/>
      <c r="J1027" s="238"/>
      <c r="K1027" s="238"/>
      <c r="L1027" s="238"/>
      <c r="M1027" s="238"/>
      <c r="N1027" s="239"/>
    </row>
    <row r="1060" spans="1:14" ht="12">
      <c r="A1060" s="238"/>
      <c r="B1060" s="238"/>
      <c r="C1060" s="238"/>
      <c r="D1060" s="238"/>
      <c r="E1060" s="238"/>
      <c r="F1060" s="238"/>
      <c r="G1060" s="238"/>
      <c r="H1060" s="238"/>
      <c r="I1060" s="238"/>
      <c r="J1060" s="238"/>
      <c r="K1060" s="238"/>
      <c r="L1060" s="238"/>
      <c r="M1060" s="238"/>
      <c r="N1060" s="239"/>
    </row>
    <row r="1061" spans="1:14" ht="12">
      <c r="A1061" s="238"/>
      <c r="B1061" s="238"/>
      <c r="C1061" s="238"/>
      <c r="D1061" s="238"/>
      <c r="E1061" s="238"/>
      <c r="F1061" s="238"/>
      <c r="G1061" s="238"/>
      <c r="H1061" s="238"/>
      <c r="I1061" s="238"/>
      <c r="J1061" s="238"/>
      <c r="K1061" s="238"/>
      <c r="L1061" s="238"/>
      <c r="M1061" s="238"/>
      <c r="N1061" s="239"/>
    </row>
    <row r="1062" spans="1:14" ht="12">
      <c r="A1062" s="238"/>
      <c r="B1062" s="238"/>
      <c r="C1062" s="238"/>
      <c r="D1062" s="238"/>
      <c r="E1062" s="238"/>
      <c r="F1062" s="238"/>
      <c r="G1062" s="238"/>
      <c r="H1062" s="238"/>
      <c r="I1062" s="238"/>
      <c r="J1062" s="238"/>
      <c r="K1062" s="238"/>
      <c r="L1062" s="238"/>
      <c r="M1062" s="238"/>
      <c r="N1062" s="239"/>
    </row>
    <row r="1063" spans="1:14" ht="12">
      <c r="A1063" s="238"/>
      <c r="B1063" s="238"/>
      <c r="C1063" s="238"/>
      <c r="D1063" s="238"/>
      <c r="E1063" s="238"/>
      <c r="F1063" s="238"/>
      <c r="G1063" s="238"/>
      <c r="H1063" s="238"/>
      <c r="I1063" s="238"/>
      <c r="J1063" s="238"/>
      <c r="K1063" s="238"/>
      <c r="L1063" s="238"/>
      <c r="M1063" s="238"/>
      <c r="N1063" s="239"/>
    </row>
    <row r="1064" spans="1:14" ht="12">
      <c r="A1064" s="238"/>
      <c r="B1064" s="238"/>
      <c r="C1064" s="238"/>
      <c r="D1064" s="238"/>
      <c r="E1064" s="238"/>
      <c r="F1064" s="238"/>
      <c r="G1064" s="238"/>
      <c r="H1064" s="238"/>
      <c r="I1064" s="238"/>
      <c r="J1064" s="238"/>
      <c r="K1064" s="238"/>
      <c r="L1064" s="238"/>
      <c r="M1064" s="238"/>
      <c r="N1064" s="239"/>
    </row>
    <row r="1065" spans="1:14" ht="12">
      <c r="A1065" s="238"/>
      <c r="B1065" s="238"/>
      <c r="C1065" s="238"/>
      <c r="D1065" s="238"/>
      <c r="E1065" s="238"/>
      <c r="F1065" s="238"/>
      <c r="G1065" s="238"/>
      <c r="H1065" s="238"/>
      <c r="I1065" s="238"/>
      <c r="J1065" s="238"/>
      <c r="K1065" s="238"/>
      <c r="L1065" s="238"/>
      <c r="M1065" s="238"/>
      <c r="N1065" s="239"/>
    </row>
    <row r="1066" spans="1:14" ht="12">
      <c r="A1066" s="238"/>
      <c r="B1066" s="238"/>
      <c r="C1066" s="238"/>
      <c r="D1066" s="238"/>
      <c r="E1066" s="238"/>
      <c r="F1066" s="238"/>
      <c r="G1066" s="238"/>
      <c r="H1066" s="238"/>
      <c r="I1066" s="238"/>
      <c r="J1066" s="238"/>
      <c r="K1066" s="238"/>
      <c r="L1066" s="238"/>
      <c r="M1066" s="238"/>
      <c r="N1066" s="239"/>
    </row>
    <row r="1067" spans="1:14" ht="12">
      <c r="A1067" s="238"/>
      <c r="B1067" s="238"/>
      <c r="C1067" s="238"/>
      <c r="D1067" s="238"/>
      <c r="E1067" s="238"/>
      <c r="F1067" s="238"/>
      <c r="G1067" s="238"/>
      <c r="H1067" s="238"/>
      <c r="I1067" s="238"/>
      <c r="J1067" s="238"/>
      <c r="K1067" s="238"/>
      <c r="L1067" s="238"/>
      <c r="M1067" s="238"/>
      <c r="N1067" s="239"/>
    </row>
    <row r="1068" spans="1:14" ht="12">
      <c r="A1068" s="238"/>
      <c r="B1068" s="238"/>
      <c r="C1068" s="238"/>
      <c r="D1068" s="238"/>
      <c r="E1068" s="238"/>
      <c r="F1068" s="238"/>
      <c r="G1068" s="238"/>
      <c r="H1068" s="238"/>
      <c r="I1068" s="238"/>
      <c r="J1068" s="238"/>
      <c r="K1068" s="238"/>
      <c r="L1068" s="238"/>
      <c r="M1068" s="238"/>
      <c r="N1068" s="239"/>
    </row>
    <row r="1069" spans="1:14" ht="12">
      <c r="A1069" s="238"/>
      <c r="B1069" s="238"/>
      <c r="C1069" s="238"/>
      <c r="D1069" s="238"/>
      <c r="E1069" s="238"/>
      <c r="F1069" s="238"/>
      <c r="G1069" s="238"/>
      <c r="H1069" s="238"/>
      <c r="I1069" s="238"/>
      <c r="J1069" s="238"/>
      <c r="K1069" s="238"/>
      <c r="L1069" s="238"/>
      <c r="M1069" s="238"/>
      <c r="N1069" s="239"/>
    </row>
    <row r="1070" spans="1:14" ht="12">
      <c r="A1070" s="238"/>
      <c r="B1070" s="238"/>
      <c r="C1070" s="238"/>
      <c r="D1070" s="238"/>
      <c r="E1070" s="238"/>
      <c r="F1070" s="238"/>
      <c r="G1070" s="238"/>
      <c r="H1070" s="238"/>
      <c r="I1070" s="238"/>
      <c r="J1070" s="238"/>
      <c r="K1070" s="238"/>
      <c r="L1070" s="238"/>
      <c r="M1070" s="238"/>
      <c r="N1070" s="239"/>
    </row>
    <row r="1071" spans="1:14" ht="12">
      <c r="A1071" s="238"/>
      <c r="B1071" s="238"/>
      <c r="C1071" s="238"/>
      <c r="D1071" s="238"/>
      <c r="E1071" s="238"/>
      <c r="F1071" s="238"/>
      <c r="G1071" s="238"/>
      <c r="H1071" s="238"/>
      <c r="I1071" s="238"/>
      <c r="J1071" s="238"/>
      <c r="K1071" s="238"/>
      <c r="L1071" s="238"/>
      <c r="M1071" s="238"/>
      <c r="N1071" s="239"/>
    </row>
    <row r="1072" spans="1:14" ht="12">
      <c r="A1072" s="238"/>
      <c r="B1072" s="238"/>
      <c r="C1072" s="238"/>
      <c r="D1072" s="238"/>
      <c r="E1072" s="238"/>
      <c r="F1072" s="238"/>
      <c r="G1072" s="238"/>
      <c r="H1072" s="238"/>
      <c r="I1072" s="238"/>
      <c r="J1072" s="238"/>
      <c r="K1072" s="238"/>
      <c r="L1072" s="238"/>
      <c r="M1072" s="238"/>
      <c r="N1072" s="239"/>
    </row>
    <row r="1073" spans="1:14" ht="12">
      <c r="A1073" s="238"/>
      <c r="B1073" s="238"/>
      <c r="C1073" s="238"/>
      <c r="D1073" s="238"/>
      <c r="E1073" s="238"/>
      <c r="F1073" s="238"/>
      <c r="G1073" s="238"/>
      <c r="H1073" s="238"/>
      <c r="I1073" s="238"/>
      <c r="J1073" s="238"/>
      <c r="K1073" s="238"/>
      <c r="L1073" s="238"/>
      <c r="M1073" s="238"/>
      <c r="N1073" s="239"/>
    </row>
    <row r="1074" spans="1:14" ht="12">
      <c r="A1074" s="238"/>
      <c r="B1074" s="237" t="s">
        <v>190</v>
      </c>
      <c r="C1074" s="238"/>
      <c r="D1074" s="238"/>
      <c r="E1074" s="238"/>
      <c r="F1074" s="238"/>
      <c r="G1074" s="238"/>
      <c r="H1074" s="238"/>
      <c r="I1074" s="238"/>
      <c r="J1074" s="238"/>
      <c r="K1074" s="238"/>
      <c r="L1074" s="238"/>
      <c r="M1074" s="238"/>
      <c r="N1074" s="239"/>
    </row>
    <row r="1110" spans="1:14" ht="12">
      <c r="A1110" s="238"/>
      <c r="B1110" s="238"/>
      <c r="C1110" s="238"/>
      <c r="D1110" s="238"/>
      <c r="E1110" s="238"/>
      <c r="F1110" s="238"/>
      <c r="G1110" s="238"/>
      <c r="H1110" s="238"/>
      <c r="I1110" s="238"/>
      <c r="J1110" s="238"/>
      <c r="K1110" s="238"/>
      <c r="L1110" s="238"/>
      <c r="M1110" s="238"/>
      <c r="N1110" s="239"/>
    </row>
    <row r="1111" spans="1:14" ht="12">
      <c r="A1111" s="238"/>
      <c r="B1111" s="238"/>
      <c r="C1111" s="238"/>
      <c r="D1111" s="238"/>
      <c r="E1111" s="238"/>
      <c r="F1111" s="238"/>
      <c r="G1111" s="238"/>
      <c r="H1111" s="238"/>
      <c r="I1111" s="238"/>
      <c r="J1111" s="238"/>
      <c r="K1111" s="238"/>
      <c r="L1111" s="238"/>
      <c r="M1111" s="238"/>
      <c r="N1111" s="239"/>
    </row>
    <row r="1112" spans="1:14" ht="12">
      <c r="A1112" s="238"/>
      <c r="B1112" s="238"/>
      <c r="C1112" s="238"/>
      <c r="D1112" s="238"/>
      <c r="E1112" s="238"/>
      <c r="F1112" s="238"/>
      <c r="G1112" s="238"/>
      <c r="H1112" s="238"/>
      <c r="I1112" s="238"/>
      <c r="J1112" s="238"/>
      <c r="K1112" s="238"/>
      <c r="L1112" s="238"/>
      <c r="M1112" s="238"/>
      <c r="N1112" s="239"/>
    </row>
    <row r="1113" spans="1:14" ht="12">
      <c r="A1113" s="238"/>
      <c r="B1113" s="238"/>
      <c r="C1113" s="238"/>
      <c r="D1113" s="238"/>
      <c r="E1113" s="238"/>
      <c r="F1113" s="238"/>
      <c r="G1113" s="238"/>
      <c r="H1113" s="238"/>
      <c r="I1113" s="238"/>
      <c r="J1113" s="238"/>
      <c r="K1113" s="238"/>
      <c r="L1113" s="238"/>
      <c r="M1113" s="238"/>
      <c r="N1113" s="239"/>
    </row>
    <row r="1114" spans="1:14" ht="12">
      <c r="A1114" s="238"/>
      <c r="B1114" s="238"/>
      <c r="C1114" s="238"/>
      <c r="D1114" s="238"/>
      <c r="E1114" s="238"/>
      <c r="F1114" s="238"/>
      <c r="G1114" s="238"/>
      <c r="H1114" s="238"/>
      <c r="I1114" s="238"/>
      <c r="J1114" s="238"/>
      <c r="K1114" s="238"/>
      <c r="L1114" s="238"/>
      <c r="M1114" s="238"/>
      <c r="N1114" s="239"/>
    </row>
    <row r="1115" spans="1:14" ht="12">
      <c r="A1115" s="238"/>
      <c r="B1115" s="238"/>
      <c r="C1115" s="238"/>
      <c r="D1115" s="238"/>
      <c r="E1115" s="238"/>
      <c r="F1115" s="238"/>
      <c r="G1115" s="238"/>
      <c r="H1115" s="238"/>
      <c r="I1115" s="238"/>
      <c r="J1115" s="238"/>
      <c r="K1115" s="238"/>
      <c r="L1115" s="238"/>
      <c r="M1115" s="238"/>
      <c r="N1115" s="239"/>
    </row>
    <row r="1116" spans="1:14" ht="12">
      <c r="A1116" s="238"/>
      <c r="B1116" s="238"/>
      <c r="C1116" s="238"/>
      <c r="D1116" s="238"/>
      <c r="E1116" s="238"/>
      <c r="F1116" s="238"/>
      <c r="G1116" s="238"/>
      <c r="H1116" s="238"/>
      <c r="I1116" s="238"/>
      <c r="J1116" s="238"/>
      <c r="K1116" s="238"/>
      <c r="L1116" s="238"/>
      <c r="M1116" s="238"/>
      <c r="N1116" s="239"/>
    </row>
    <row r="1117" spans="1:14" ht="12">
      <c r="A1117" s="238"/>
      <c r="B1117" s="238"/>
      <c r="C1117" s="238"/>
      <c r="D1117" s="238"/>
      <c r="E1117" s="238"/>
      <c r="F1117" s="238"/>
      <c r="G1117" s="238"/>
      <c r="H1117" s="238"/>
      <c r="I1117" s="238"/>
      <c r="J1117" s="238"/>
      <c r="K1117" s="238"/>
      <c r="L1117" s="238"/>
      <c r="M1117" s="238"/>
      <c r="N1117" s="239"/>
    </row>
    <row r="1118" spans="1:14" ht="12">
      <c r="A1118" s="238"/>
      <c r="B1118" s="238"/>
      <c r="C1118" s="238"/>
      <c r="D1118" s="238"/>
      <c r="E1118" s="238"/>
      <c r="F1118" s="238"/>
      <c r="G1118" s="238"/>
      <c r="H1118" s="238"/>
      <c r="I1118" s="238"/>
      <c r="J1118" s="238"/>
      <c r="K1118" s="238"/>
      <c r="L1118" s="238"/>
      <c r="M1118" s="238"/>
      <c r="N1118" s="239"/>
    </row>
    <row r="1119" spans="1:14" ht="12">
      <c r="A1119" s="238"/>
      <c r="B1119" s="238"/>
      <c r="C1119" s="238"/>
      <c r="D1119" s="238"/>
      <c r="E1119" s="238"/>
      <c r="F1119" s="238"/>
      <c r="G1119" s="238"/>
      <c r="H1119" s="238"/>
      <c r="I1119" s="238"/>
      <c r="J1119" s="238"/>
      <c r="K1119" s="238"/>
      <c r="L1119" s="238"/>
      <c r="M1119" s="238"/>
      <c r="N1119" s="239"/>
    </row>
    <row r="1120" spans="1:14" ht="12">
      <c r="A1120" s="238"/>
      <c r="B1120" s="238"/>
      <c r="C1120" s="238"/>
      <c r="D1120" s="238"/>
      <c r="E1120" s="238"/>
      <c r="F1120" s="238"/>
      <c r="G1120" s="238"/>
      <c r="H1120" s="238"/>
      <c r="I1120" s="238"/>
      <c r="J1120" s="238"/>
      <c r="K1120" s="238"/>
      <c r="L1120" s="238"/>
      <c r="M1120" s="238"/>
      <c r="N1120" s="239"/>
    </row>
    <row r="1121" spans="1:14" ht="12">
      <c r="A1121" s="238"/>
      <c r="B1121" s="238"/>
      <c r="C1121" s="238"/>
      <c r="D1121" s="238"/>
      <c r="E1121" s="238"/>
      <c r="F1121" s="238"/>
      <c r="G1121" s="238"/>
      <c r="H1121" s="238"/>
      <c r="I1121" s="238"/>
      <c r="J1121" s="238"/>
      <c r="K1121" s="238"/>
      <c r="L1121" s="238"/>
      <c r="M1121" s="238"/>
      <c r="N1121" s="239"/>
    </row>
    <row r="1122" spans="1:14" ht="12">
      <c r="A1122" s="238"/>
      <c r="B1122" s="238"/>
      <c r="C1122" s="238"/>
      <c r="D1122" s="238"/>
      <c r="E1122" s="238"/>
      <c r="F1122" s="238"/>
      <c r="G1122" s="238"/>
      <c r="H1122" s="238"/>
      <c r="I1122" s="238"/>
      <c r="J1122" s="238"/>
      <c r="K1122" s="238"/>
      <c r="L1122" s="238"/>
      <c r="M1122" s="238"/>
      <c r="N1122" s="239"/>
    </row>
    <row r="1123" spans="1:14" ht="12">
      <c r="A1123" s="238"/>
      <c r="B1123" s="238"/>
      <c r="C1123" s="238"/>
      <c r="D1123" s="238"/>
      <c r="E1123" s="238"/>
      <c r="F1123" s="238"/>
      <c r="G1123" s="238"/>
      <c r="H1123" s="238"/>
      <c r="I1123" s="238"/>
      <c r="J1123" s="238"/>
      <c r="K1123" s="238"/>
      <c r="L1123" s="238"/>
      <c r="M1123" s="238"/>
      <c r="N1123" s="239"/>
    </row>
    <row r="1124" spans="1:14" ht="12">
      <c r="A1124" s="238"/>
      <c r="B1124" s="237" t="s">
        <v>190</v>
      </c>
      <c r="C1124" s="238"/>
      <c r="D1124" s="238"/>
      <c r="E1124" s="238"/>
      <c r="F1124" s="238"/>
      <c r="G1124" s="238"/>
      <c r="H1124" s="238"/>
      <c r="I1124" s="238"/>
      <c r="J1124" s="238"/>
      <c r="K1124" s="238"/>
      <c r="L1124" s="238"/>
      <c r="M1124" s="238"/>
      <c r="N1124" s="239"/>
    </row>
    <row r="1160" spans="1:14" ht="12">
      <c r="A1160" s="238"/>
      <c r="B1160" s="238"/>
      <c r="C1160" s="238"/>
      <c r="D1160" s="238"/>
      <c r="E1160" s="238"/>
      <c r="F1160" s="238"/>
      <c r="G1160" s="238"/>
      <c r="H1160" s="238"/>
      <c r="I1160" s="238"/>
      <c r="J1160" s="238"/>
      <c r="K1160" s="238"/>
      <c r="L1160" s="238"/>
      <c r="M1160" s="238"/>
      <c r="N1160" s="239"/>
    </row>
    <row r="1161" spans="1:14" ht="12">
      <c r="A1161" s="238"/>
      <c r="B1161" s="238"/>
      <c r="C1161" s="238"/>
      <c r="D1161" s="238"/>
      <c r="E1161" s="238"/>
      <c r="F1161" s="238"/>
      <c r="G1161" s="238"/>
      <c r="H1161" s="238"/>
      <c r="I1161" s="238"/>
      <c r="J1161" s="238"/>
      <c r="K1161" s="238"/>
      <c r="L1161" s="238"/>
      <c r="M1161" s="238"/>
      <c r="N1161" s="239"/>
    </row>
    <row r="1162" spans="1:14" ht="12">
      <c r="A1162" s="238"/>
      <c r="B1162" s="238"/>
      <c r="C1162" s="238"/>
      <c r="D1162" s="238"/>
      <c r="E1162" s="238"/>
      <c r="F1162" s="238"/>
      <c r="G1162" s="238"/>
      <c r="H1162" s="238"/>
      <c r="I1162" s="238"/>
      <c r="J1162" s="238"/>
      <c r="K1162" s="238"/>
      <c r="L1162" s="238"/>
      <c r="M1162" s="238"/>
      <c r="N1162" s="239"/>
    </row>
    <row r="1163" spans="1:14" ht="12">
      <c r="A1163" s="238"/>
      <c r="B1163" s="238"/>
      <c r="C1163" s="238"/>
      <c r="D1163" s="238"/>
      <c r="E1163" s="238"/>
      <c r="F1163" s="238"/>
      <c r="G1163" s="238"/>
      <c r="H1163" s="238"/>
      <c r="I1163" s="238"/>
      <c r="J1163" s="238"/>
      <c r="K1163" s="238"/>
      <c r="L1163" s="238"/>
      <c r="M1163" s="238"/>
      <c r="N1163" s="239"/>
    </row>
    <row r="1164" spans="1:14" ht="12">
      <c r="A1164" s="238"/>
      <c r="B1164" s="238"/>
      <c r="C1164" s="238"/>
      <c r="D1164" s="238"/>
      <c r="E1164" s="238"/>
      <c r="F1164" s="238"/>
      <c r="G1164" s="238"/>
      <c r="H1164" s="238"/>
      <c r="I1164" s="238"/>
      <c r="J1164" s="238"/>
      <c r="K1164" s="238"/>
      <c r="L1164" s="238"/>
      <c r="M1164" s="238"/>
      <c r="N1164" s="239"/>
    </row>
    <row r="1165" spans="1:14" ht="12">
      <c r="A1165" s="238"/>
      <c r="B1165" s="238"/>
      <c r="C1165" s="238"/>
      <c r="D1165" s="238"/>
      <c r="E1165" s="238"/>
      <c r="F1165" s="238"/>
      <c r="G1165" s="238"/>
      <c r="H1165" s="238"/>
      <c r="I1165" s="238"/>
      <c r="J1165" s="238"/>
      <c r="K1165" s="238"/>
      <c r="L1165" s="238"/>
      <c r="M1165" s="238"/>
      <c r="N1165" s="239"/>
    </row>
    <row r="1166" spans="1:14" ht="12">
      <c r="A1166" s="238"/>
      <c r="B1166" s="238"/>
      <c r="C1166" s="238"/>
      <c r="D1166" s="238"/>
      <c r="E1166" s="238"/>
      <c r="F1166" s="238"/>
      <c r="G1166" s="238"/>
      <c r="H1166" s="238"/>
      <c r="I1166" s="238"/>
      <c r="J1166" s="238"/>
      <c r="K1166" s="238"/>
      <c r="L1166" s="238"/>
      <c r="M1166" s="238"/>
      <c r="N1166" s="239"/>
    </row>
    <row r="1167" spans="1:14" ht="12">
      <c r="A1167" s="238"/>
      <c r="B1167" s="238"/>
      <c r="C1167" s="238"/>
      <c r="D1167" s="238"/>
      <c r="E1167" s="238"/>
      <c r="F1167" s="238"/>
      <c r="G1167" s="238"/>
      <c r="H1167" s="238"/>
      <c r="I1167" s="238"/>
      <c r="J1167" s="238"/>
      <c r="K1167" s="238"/>
      <c r="L1167" s="238"/>
      <c r="M1167" s="238"/>
      <c r="N1167" s="239"/>
    </row>
    <row r="1168" spans="1:14" ht="12">
      <c r="A1168" s="238"/>
      <c r="B1168" s="238"/>
      <c r="C1168" s="238"/>
      <c r="D1168" s="238"/>
      <c r="E1168" s="238"/>
      <c r="F1168" s="238"/>
      <c r="G1168" s="238"/>
      <c r="H1168" s="238"/>
      <c r="I1168" s="238"/>
      <c r="J1168" s="238"/>
      <c r="K1168" s="238"/>
      <c r="L1168" s="238"/>
      <c r="M1168" s="238"/>
      <c r="N1168" s="239"/>
    </row>
    <row r="1169" spans="1:14" ht="12">
      <c r="A1169" s="238"/>
      <c r="B1169" s="238"/>
      <c r="C1169" s="238"/>
      <c r="D1169" s="238"/>
      <c r="E1169" s="238"/>
      <c r="F1169" s="238"/>
      <c r="G1169" s="238"/>
      <c r="H1169" s="238"/>
      <c r="I1169" s="238"/>
      <c r="J1169" s="238"/>
      <c r="K1169" s="238"/>
      <c r="L1169" s="238"/>
      <c r="M1169" s="238"/>
      <c r="N1169" s="239"/>
    </row>
    <row r="1170" spans="1:14" ht="12">
      <c r="A1170" s="238"/>
      <c r="B1170" s="238"/>
      <c r="C1170" s="238"/>
      <c r="D1170" s="238"/>
      <c r="E1170" s="238"/>
      <c r="F1170" s="238"/>
      <c r="G1170" s="238"/>
      <c r="H1170" s="238"/>
      <c r="I1170" s="238"/>
      <c r="J1170" s="238"/>
      <c r="K1170" s="238"/>
      <c r="L1170" s="238"/>
      <c r="M1170" s="238"/>
      <c r="N1170" s="239"/>
    </row>
    <row r="1171" spans="1:14" ht="12">
      <c r="A1171" s="238"/>
      <c r="B1171" s="238"/>
      <c r="C1171" s="238"/>
      <c r="D1171" s="238"/>
      <c r="E1171" s="238"/>
      <c r="F1171" s="238"/>
      <c r="G1171" s="238"/>
      <c r="H1171" s="238"/>
      <c r="I1171" s="238"/>
      <c r="J1171" s="238"/>
      <c r="K1171" s="238"/>
      <c r="L1171" s="238"/>
      <c r="M1171" s="238"/>
      <c r="N1171" s="239"/>
    </row>
    <row r="1172" spans="1:14" ht="12">
      <c r="A1172" s="238"/>
      <c r="B1172" s="238"/>
      <c r="C1172" s="238"/>
      <c r="D1172" s="238"/>
      <c r="E1172" s="238"/>
      <c r="F1172" s="238"/>
      <c r="G1172" s="238"/>
      <c r="H1172" s="238"/>
      <c r="I1172" s="238"/>
      <c r="J1172" s="238"/>
      <c r="K1172" s="238"/>
      <c r="L1172" s="238"/>
      <c r="M1172" s="238"/>
      <c r="N1172" s="239"/>
    </row>
    <row r="1173" spans="1:14" ht="12">
      <c r="A1173" s="238"/>
      <c r="B1173" s="238"/>
      <c r="C1173" s="238"/>
      <c r="D1173" s="238"/>
      <c r="E1173" s="238"/>
      <c r="F1173" s="238"/>
      <c r="G1173" s="238"/>
      <c r="H1173" s="238"/>
      <c r="I1173" s="238"/>
      <c r="J1173" s="238"/>
      <c r="K1173" s="238"/>
      <c r="L1173" s="238"/>
      <c r="M1173" s="238"/>
      <c r="N1173" s="239"/>
    </row>
    <row r="1174" spans="1:14" ht="12">
      <c r="A1174" s="238"/>
      <c r="B1174" s="237" t="s">
        <v>190</v>
      </c>
      <c r="C1174" s="238"/>
      <c r="D1174" s="238"/>
      <c r="E1174" s="238"/>
      <c r="F1174" s="238"/>
      <c r="G1174" s="238"/>
      <c r="H1174" s="238"/>
      <c r="I1174" s="238"/>
      <c r="J1174" s="238"/>
      <c r="K1174" s="238"/>
      <c r="L1174" s="238"/>
      <c r="M1174" s="238"/>
      <c r="N1174" s="239"/>
    </row>
    <row r="1210" spans="1:14" ht="12">
      <c r="A1210" s="238"/>
      <c r="B1210" s="238"/>
      <c r="C1210" s="238"/>
      <c r="D1210" s="238"/>
      <c r="E1210" s="238"/>
      <c r="F1210" s="238"/>
      <c r="G1210" s="238"/>
      <c r="H1210" s="238"/>
      <c r="I1210" s="238"/>
      <c r="J1210" s="238"/>
      <c r="K1210" s="238"/>
      <c r="L1210" s="238"/>
      <c r="M1210" s="238"/>
      <c r="N1210" s="239"/>
    </row>
    <row r="1211" spans="1:14" ht="12">
      <c r="A1211" s="238"/>
      <c r="B1211" s="238"/>
      <c r="C1211" s="238"/>
      <c r="D1211" s="238"/>
      <c r="E1211" s="238"/>
      <c r="F1211" s="238"/>
      <c r="G1211" s="238"/>
      <c r="H1211" s="238"/>
      <c r="I1211" s="238"/>
      <c r="J1211" s="238"/>
      <c r="K1211" s="238"/>
      <c r="L1211" s="238"/>
      <c r="M1211" s="238"/>
      <c r="N1211" s="239"/>
    </row>
    <row r="1212" spans="1:14" ht="12">
      <c r="A1212" s="238"/>
      <c r="B1212" s="238"/>
      <c r="C1212" s="238"/>
      <c r="D1212" s="238"/>
      <c r="E1212" s="238"/>
      <c r="F1212" s="238"/>
      <c r="G1212" s="238"/>
      <c r="H1212" s="238"/>
      <c r="I1212" s="238"/>
      <c r="J1212" s="238"/>
      <c r="K1212" s="238"/>
      <c r="L1212" s="238"/>
      <c r="M1212" s="238"/>
      <c r="N1212" s="239"/>
    </row>
    <row r="1213" spans="1:14" ht="12">
      <c r="A1213" s="238"/>
      <c r="B1213" s="238"/>
      <c r="C1213" s="238"/>
      <c r="D1213" s="238"/>
      <c r="E1213" s="238"/>
      <c r="F1213" s="238"/>
      <c r="G1213" s="238"/>
      <c r="H1213" s="238"/>
      <c r="I1213" s="238"/>
      <c r="J1213" s="238"/>
      <c r="K1213" s="238"/>
      <c r="L1213" s="238"/>
      <c r="M1213" s="238"/>
      <c r="N1213" s="239"/>
    </row>
    <row r="1214" spans="1:14" ht="12">
      <c r="A1214" s="238"/>
      <c r="B1214" s="238"/>
      <c r="C1214" s="238"/>
      <c r="D1214" s="238"/>
      <c r="E1214" s="238"/>
      <c r="F1214" s="238"/>
      <c r="G1214" s="238"/>
      <c r="H1214" s="238"/>
      <c r="I1214" s="238"/>
      <c r="J1214" s="238"/>
      <c r="K1214" s="238"/>
      <c r="L1214" s="238"/>
      <c r="M1214" s="238"/>
      <c r="N1214" s="239"/>
    </row>
    <row r="1215" spans="1:14" ht="12">
      <c r="A1215" s="238"/>
      <c r="B1215" s="238"/>
      <c r="C1215" s="238"/>
      <c r="D1215" s="238"/>
      <c r="E1215" s="238"/>
      <c r="F1215" s="238"/>
      <c r="G1215" s="238"/>
      <c r="H1215" s="238"/>
      <c r="I1215" s="238"/>
      <c r="J1215" s="238"/>
      <c r="K1215" s="238"/>
      <c r="L1215" s="238"/>
      <c r="M1215" s="238"/>
      <c r="N1215" s="239"/>
    </row>
    <row r="1216" spans="1:14" ht="12">
      <c r="A1216" s="238"/>
      <c r="B1216" s="238"/>
      <c r="C1216" s="238"/>
      <c r="D1216" s="238"/>
      <c r="E1216" s="238"/>
      <c r="F1216" s="238"/>
      <c r="G1216" s="238"/>
      <c r="H1216" s="238"/>
      <c r="I1216" s="238"/>
      <c r="J1216" s="238"/>
      <c r="K1216" s="238"/>
      <c r="L1216" s="238"/>
      <c r="M1216" s="238"/>
      <c r="N1216" s="239"/>
    </row>
    <row r="1217" spans="1:14" ht="12">
      <c r="A1217" s="238"/>
      <c r="B1217" s="238"/>
      <c r="C1217" s="238"/>
      <c r="D1217" s="238"/>
      <c r="E1217" s="238"/>
      <c r="F1217" s="238"/>
      <c r="G1217" s="238"/>
      <c r="H1217" s="238"/>
      <c r="I1217" s="238"/>
      <c r="J1217" s="238"/>
      <c r="K1217" s="238"/>
      <c r="L1217" s="238"/>
      <c r="M1217" s="238"/>
      <c r="N1217" s="239"/>
    </row>
    <row r="1218" spans="1:14" ht="12">
      <c r="A1218" s="238"/>
      <c r="B1218" s="238"/>
      <c r="C1218" s="238"/>
      <c r="D1218" s="238"/>
      <c r="E1218" s="238"/>
      <c r="F1218" s="238"/>
      <c r="G1218" s="238"/>
      <c r="H1218" s="238"/>
      <c r="I1218" s="238"/>
      <c r="J1218" s="238"/>
      <c r="K1218" s="238"/>
      <c r="L1218" s="238"/>
      <c r="M1218" s="238"/>
      <c r="N1218" s="239"/>
    </row>
    <row r="1219" spans="1:14" ht="12">
      <c r="A1219" s="238"/>
      <c r="B1219" s="238"/>
      <c r="C1219" s="238"/>
      <c r="D1219" s="238"/>
      <c r="E1219" s="238"/>
      <c r="F1219" s="238"/>
      <c r="G1219" s="238"/>
      <c r="H1219" s="238"/>
      <c r="I1219" s="238"/>
      <c r="J1219" s="238"/>
      <c r="K1219" s="238"/>
      <c r="L1219" s="238"/>
      <c r="M1219" s="238"/>
      <c r="N1219" s="239"/>
    </row>
    <row r="1220" spans="1:14" ht="12">
      <c r="A1220" s="238"/>
      <c r="B1220" s="238"/>
      <c r="C1220" s="238"/>
      <c r="D1220" s="238"/>
      <c r="E1220" s="238"/>
      <c r="F1220" s="238"/>
      <c r="G1220" s="238"/>
      <c r="H1220" s="238"/>
      <c r="I1220" s="238"/>
      <c r="J1220" s="238"/>
      <c r="K1220" s="238"/>
      <c r="L1220" s="238"/>
      <c r="M1220" s="238"/>
      <c r="N1220" s="239"/>
    </row>
    <row r="1221" spans="1:14" ht="12">
      <c r="A1221" s="238"/>
      <c r="B1221" s="238"/>
      <c r="C1221" s="238"/>
      <c r="D1221" s="238"/>
      <c r="E1221" s="238"/>
      <c r="F1221" s="238"/>
      <c r="G1221" s="238"/>
      <c r="H1221" s="238"/>
      <c r="I1221" s="238"/>
      <c r="J1221" s="238"/>
      <c r="K1221" s="238"/>
      <c r="L1221" s="238"/>
      <c r="M1221" s="238"/>
      <c r="N1221" s="239"/>
    </row>
    <row r="1222" spans="1:14" ht="12">
      <c r="A1222" s="238"/>
      <c r="B1222" s="238"/>
      <c r="C1222" s="238"/>
      <c r="D1222" s="238"/>
      <c r="E1222" s="238"/>
      <c r="F1222" s="238"/>
      <c r="G1222" s="238"/>
      <c r="H1222" s="238"/>
      <c r="I1222" s="238"/>
      <c r="J1222" s="238"/>
      <c r="K1222" s="238"/>
      <c r="L1222" s="238"/>
      <c r="M1222" s="238"/>
      <c r="N1222" s="239"/>
    </row>
    <row r="1223" spans="1:14" ht="12">
      <c r="A1223" s="238"/>
      <c r="B1223" s="238"/>
      <c r="C1223" s="238"/>
      <c r="D1223" s="238"/>
      <c r="E1223" s="238"/>
      <c r="F1223" s="238"/>
      <c r="G1223" s="238"/>
      <c r="H1223" s="238"/>
      <c r="I1223" s="238"/>
      <c r="J1223" s="238"/>
      <c r="K1223" s="238"/>
      <c r="L1223" s="238"/>
      <c r="M1223" s="238"/>
      <c r="N1223" s="239"/>
    </row>
    <row r="1224" spans="1:14" ht="12">
      <c r="A1224" s="238"/>
      <c r="B1224" s="237" t="s">
        <v>190</v>
      </c>
      <c r="C1224" s="238"/>
      <c r="D1224" s="238"/>
      <c r="E1224" s="238"/>
      <c r="F1224" s="238"/>
      <c r="G1224" s="238"/>
      <c r="H1224" s="238"/>
      <c r="I1224" s="238"/>
      <c r="J1224" s="238"/>
      <c r="K1224" s="238"/>
      <c r="L1224" s="238"/>
      <c r="M1224" s="238"/>
      <c r="N1224" s="239"/>
    </row>
    <row r="1260" ht="12">
      <c r="N1260" s="5"/>
    </row>
    <row r="1261" ht="12">
      <c r="N1261" s="5"/>
    </row>
    <row r="1262" ht="12">
      <c r="N1262" s="5"/>
    </row>
    <row r="1263" ht="12">
      <c r="N1263" s="5"/>
    </row>
    <row r="1264" ht="12">
      <c r="N1264" s="5"/>
    </row>
    <row r="1265" ht="12">
      <c r="N1265" s="5"/>
    </row>
    <row r="1266" ht="12">
      <c r="N1266" s="5"/>
    </row>
    <row r="1267" ht="12">
      <c r="N1267" s="5"/>
    </row>
    <row r="1268" ht="12">
      <c r="N1268" s="5"/>
    </row>
    <row r="1269" ht="12">
      <c r="N1269" s="5"/>
    </row>
    <row r="1270" ht="12">
      <c r="N1270" s="5"/>
    </row>
    <row r="1271" ht="12">
      <c r="N1271" s="5"/>
    </row>
    <row r="1272" ht="12">
      <c r="N1272" s="5"/>
    </row>
    <row r="1273" ht="12">
      <c r="N1273" s="5"/>
    </row>
    <row r="1274" ht="12">
      <c r="N1274" s="5"/>
    </row>
    <row r="1275" ht="12">
      <c r="N1275" s="5"/>
    </row>
    <row r="1276" ht="12">
      <c r="N1276" s="5"/>
    </row>
    <row r="1277" ht="12">
      <c r="N1277" s="5"/>
    </row>
    <row r="1278" ht="12">
      <c r="N1278" s="5"/>
    </row>
    <row r="1279" ht="12">
      <c r="N1279" s="5"/>
    </row>
    <row r="1280" ht="12">
      <c r="N1280" s="5"/>
    </row>
    <row r="1281" ht="12">
      <c r="N1281" s="5"/>
    </row>
    <row r="1282" ht="12">
      <c r="N1282" s="5"/>
    </row>
    <row r="1283" ht="12">
      <c r="N1283" s="5"/>
    </row>
    <row r="1284" ht="12">
      <c r="N1284" s="5"/>
    </row>
    <row r="1285" spans="1:14" ht="12.75">
      <c r="A1285" s="145"/>
      <c r="B1285" s="231" t="s">
        <v>192</v>
      </c>
      <c r="C1285" s="145"/>
      <c r="D1285" s="235"/>
      <c r="N1285" s="5"/>
    </row>
    <row r="1286" ht="12">
      <c r="N1286" s="5"/>
    </row>
    <row r="1310" ht="12">
      <c r="N1310" s="5"/>
    </row>
    <row r="1311" ht="12">
      <c r="N1311" s="5"/>
    </row>
    <row r="1312" ht="12">
      <c r="N1312" s="5"/>
    </row>
    <row r="1313" ht="12">
      <c r="N1313" s="5"/>
    </row>
    <row r="1314" ht="12">
      <c r="N1314" s="5"/>
    </row>
    <row r="1315" ht="12">
      <c r="N1315" s="5"/>
    </row>
    <row r="1316" ht="12">
      <c r="N1316" s="5"/>
    </row>
    <row r="1317" ht="12">
      <c r="N1317" s="5"/>
    </row>
    <row r="1318" ht="12">
      <c r="N1318" s="5"/>
    </row>
    <row r="1319" ht="12">
      <c r="N1319" s="5"/>
    </row>
    <row r="1320" ht="12">
      <c r="N1320" s="5"/>
    </row>
    <row r="1321" spans="1:14" ht="12.75">
      <c r="A1321" s="145"/>
      <c r="B1321" s="231" t="s">
        <v>192</v>
      </c>
      <c r="C1321" s="145"/>
      <c r="D1321" s="235"/>
      <c r="N1321" s="5"/>
    </row>
    <row r="1322" ht="12">
      <c r="N1322" s="5"/>
    </row>
    <row r="1360" ht="12">
      <c r="N1360" s="5"/>
    </row>
    <row r="1361" ht="12">
      <c r="N1361" s="5"/>
    </row>
    <row r="1362" ht="12">
      <c r="N1362" s="5"/>
    </row>
    <row r="1363" ht="12">
      <c r="N1363" s="5"/>
    </row>
    <row r="1364" ht="12">
      <c r="N1364" s="5"/>
    </row>
    <row r="1365" ht="12">
      <c r="N1365" s="5"/>
    </row>
    <row r="1366" ht="12">
      <c r="N1366" s="5"/>
    </row>
    <row r="1367" spans="1:14" ht="12.75">
      <c r="A1367" s="145"/>
      <c r="B1367" s="231" t="s">
        <v>192</v>
      </c>
      <c r="C1367" s="145"/>
      <c r="D1367" s="235"/>
      <c r="N1367" s="5"/>
    </row>
    <row r="1368" ht="12">
      <c r="N1368" s="5"/>
    </row>
    <row r="1404" ht="12">
      <c r="N1404" s="5"/>
    </row>
    <row r="1405" ht="12">
      <c r="N1405" s="5"/>
    </row>
    <row r="1406" ht="12">
      <c r="N1406" s="5"/>
    </row>
    <row r="1407" ht="12">
      <c r="N1407" s="5"/>
    </row>
    <row r="1408" ht="12">
      <c r="N1408" s="5"/>
    </row>
    <row r="1409" ht="12">
      <c r="N1409" s="5"/>
    </row>
    <row r="1410" ht="12">
      <c r="N1410" s="5"/>
    </row>
    <row r="1411" ht="12">
      <c r="N1411" s="5"/>
    </row>
    <row r="1412" ht="12">
      <c r="N1412" s="5"/>
    </row>
    <row r="1413" ht="12">
      <c r="N1413" s="5"/>
    </row>
    <row r="1414" ht="12">
      <c r="N1414" s="5"/>
    </row>
    <row r="1415" ht="12">
      <c r="N1415" s="5"/>
    </row>
    <row r="1416" ht="12">
      <c r="N1416" s="5"/>
    </row>
    <row r="1417" spans="1:14" ht="12.75">
      <c r="A1417" s="145"/>
      <c r="B1417" s="231" t="s">
        <v>192</v>
      </c>
      <c r="C1417" s="145"/>
      <c r="D1417" s="235"/>
      <c r="N1417" s="5"/>
    </row>
    <row r="1418" ht="12">
      <c r="N1418" s="5"/>
    </row>
    <row r="1454" ht="12">
      <c r="N1454" s="5"/>
    </row>
    <row r="1455" ht="12">
      <c r="N1455" s="5"/>
    </row>
    <row r="1456" ht="12">
      <c r="N1456" s="5"/>
    </row>
    <row r="1457" ht="12">
      <c r="N1457" s="5"/>
    </row>
    <row r="1458" ht="12">
      <c r="N1458" s="5"/>
    </row>
    <row r="1459" ht="12">
      <c r="N1459" s="5"/>
    </row>
    <row r="1460" ht="12">
      <c r="N1460" s="5"/>
    </row>
    <row r="1461" ht="12">
      <c r="N1461" s="5"/>
    </row>
    <row r="1462" ht="12">
      <c r="N1462" s="5"/>
    </row>
    <row r="1463" ht="12">
      <c r="N1463" s="5"/>
    </row>
    <row r="1464" ht="12">
      <c r="N1464" s="5"/>
    </row>
    <row r="1465" ht="12">
      <c r="N1465" s="5"/>
    </row>
    <row r="1466" ht="12">
      <c r="N1466" s="5"/>
    </row>
    <row r="1467" ht="12">
      <c r="N1467" s="5"/>
    </row>
    <row r="1468" spans="1:14" ht="12.75">
      <c r="A1468" s="145"/>
      <c r="B1468" s="231" t="s">
        <v>192</v>
      </c>
      <c r="C1468" s="145"/>
      <c r="D1468" s="235"/>
      <c r="N1468" s="5"/>
    </row>
    <row r="1469" ht="12">
      <c r="N1469" s="5"/>
    </row>
    <row r="1504" ht="12">
      <c r="N1504" s="5"/>
    </row>
    <row r="1505" ht="12">
      <c r="N1505" s="5"/>
    </row>
    <row r="1506" ht="12">
      <c r="N1506" s="5"/>
    </row>
    <row r="1507" ht="12">
      <c r="N1507" s="5"/>
    </row>
    <row r="1508" ht="12">
      <c r="N1508" s="5"/>
    </row>
    <row r="1509" ht="12">
      <c r="N1509" s="5"/>
    </row>
    <row r="1510" ht="12">
      <c r="N1510" s="5"/>
    </row>
    <row r="1511" ht="12">
      <c r="N1511" s="5"/>
    </row>
    <row r="1512" ht="12">
      <c r="N1512" s="5"/>
    </row>
    <row r="1513" ht="12">
      <c r="N1513" s="5"/>
    </row>
    <row r="1514" ht="12">
      <c r="N1514" s="5"/>
    </row>
    <row r="1515" ht="12">
      <c r="N1515" s="5"/>
    </row>
    <row r="1516" ht="12">
      <c r="N1516" s="5"/>
    </row>
    <row r="1517" spans="1:14" ht="12.75">
      <c r="A1517" s="145"/>
      <c r="B1517" s="231" t="s">
        <v>192</v>
      </c>
      <c r="C1517" s="145"/>
      <c r="D1517" s="235"/>
      <c r="N1517" s="5"/>
    </row>
    <row r="1518" ht="12">
      <c r="N1518" s="5"/>
    </row>
    <row r="1554" ht="12">
      <c r="N1554" s="5"/>
    </row>
    <row r="1555" ht="12">
      <c r="N1555" s="5"/>
    </row>
    <row r="1556" ht="12">
      <c r="N1556" s="5"/>
    </row>
    <row r="1557" ht="12">
      <c r="N1557" s="5"/>
    </row>
    <row r="1558" ht="12">
      <c r="N1558" s="5"/>
    </row>
    <row r="1559" ht="12">
      <c r="N1559" s="5"/>
    </row>
    <row r="1560" ht="12">
      <c r="N1560" s="5"/>
    </row>
    <row r="1561" ht="12">
      <c r="N1561" s="5"/>
    </row>
    <row r="1562" ht="12">
      <c r="N1562" s="5"/>
    </row>
    <row r="1563" ht="12">
      <c r="N1563" s="5"/>
    </row>
    <row r="1564" ht="12">
      <c r="N1564" s="5"/>
    </row>
    <row r="1565" ht="12">
      <c r="N1565" s="5"/>
    </row>
    <row r="1566" ht="12">
      <c r="N1566" s="5"/>
    </row>
    <row r="1567" ht="12">
      <c r="N1567" s="5"/>
    </row>
    <row r="1568" ht="12">
      <c r="N1568" s="5"/>
    </row>
    <row r="1569" spans="1:14" ht="12.75">
      <c r="A1569" s="145"/>
      <c r="B1569" s="231" t="s">
        <v>192</v>
      </c>
      <c r="C1569" s="145"/>
      <c r="D1569" s="235"/>
      <c r="N1569" s="5"/>
    </row>
    <row r="1570" ht="12">
      <c r="N1570" s="5"/>
    </row>
    <row r="1604" ht="12">
      <c r="N1604" s="5"/>
    </row>
    <row r="1605" ht="12">
      <c r="N1605" s="5"/>
    </row>
    <row r="1606" ht="12">
      <c r="N1606" s="5"/>
    </row>
    <row r="1607" ht="12">
      <c r="N1607" s="5"/>
    </row>
    <row r="1608" ht="12">
      <c r="N1608" s="5"/>
    </row>
    <row r="1609" ht="12">
      <c r="N1609" s="5"/>
    </row>
    <row r="1610" ht="12">
      <c r="N1610" s="5"/>
    </row>
    <row r="1611" ht="12">
      <c r="N1611" s="5"/>
    </row>
    <row r="1612" ht="12">
      <c r="N1612" s="5"/>
    </row>
    <row r="1613" ht="12">
      <c r="N1613" s="5"/>
    </row>
    <row r="1614" ht="12">
      <c r="N1614" s="5"/>
    </row>
    <row r="1615" ht="12">
      <c r="N1615" s="5"/>
    </row>
    <row r="1616" ht="12">
      <c r="N1616" s="5"/>
    </row>
    <row r="1617" ht="12">
      <c r="N1617" s="5"/>
    </row>
    <row r="1618" ht="12">
      <c r="N1618" s="5"/>
    </row>
    <row r="1619" ht="12">
      <c r="N1619" s="5"/>
    </row>
    <row r="1620" ht="12">
      <c r="N1620" s="5"/>
    </row>
    <row r="1621" spans="1:14" ht="12.75">
      <c r="A1621" s="145"/>
      <c r="B1621" s="231" t="s">
        <v>192</v>
      </c>
      <c r="C1621" s="145"/>
      <c r="D1621" s="235"/>
      <c r="N1621" s="5"/>
    </row>
    <row r="1622" ht="12">
      <c r="N1622" s="5"/>
    </row>
    <row r="1654" ht="12">
      <c r="N1654" s="5"/>
    </row>
    <row r="1655" ht="12">
      <c r="N1655" s="5"/>
    </row>
    <row r="1656" ht="12">
      <c r="N1656" s="5"/>
    </row>
    <row r="1657" ht="12">
      <c r="N1657" s="5"/>
    </row>
    <row r="1658" ht="12">
      <c r="N1658" s="5"/>
    </row>
    <row r="1659" ht="12">
      <c r="N1659" s="5"/>
    </row>
    <row r="1660" ht="12">
      <c r="N1660" s="5"/>
    </row>
    <row r="1661" ht="12">
      <c r="N1661" s="5"/>
    </row>
    <row r="1662" ht="12">
      <c r="N1662" s="5"/>
    </row>
    <row r="1663" ht="12">
      <c r="N1663" s="5"/>
    </row>
    <row r="1664" ht="12">
      <c r="N1664" s="5"/>
    </row>
    <row r="1665" ht="12">
      <c r="N1665" s="5"/>
    </row>
    <row r="1666" ht="12">
      <c r="N1666" s="5"/>
    </row>
    <row r="1667" ht="12">
      <c r="N1667" s="5"/>
    </row>
    <row r="1668" ht="12">
      <c r="N1668" s="5"/>
    </row>
    <row r="1669" ht="12">
      <c r="N1669" s="5"/>
    </row>
    <row r="1670" spans="1:14" ht="12.75">
      <c r="A1670" s="145"/>
      <c r="B1670" s="231" t="s">
        <v>192</v>
      </c>
      <c r="C1670" s="145"/>
      <c r="D1670" s="235"/>
      <c r="N1670" s="5"/>
    </row>
    <row r="1671" ht="12">
      <c r="N1671" s="5"/>
    </row>
    <row r="1704" ht="12">
      <c r="N1704" s="5"/>
    </row>
    <row r="1705" ht="12">
      <c r="N1705" s="5"/>
    </row>
    <row r="1706" ht="12">
      <c r="N1706" s="5"/>
    </row>
    <row r="1707" ht="12">
      <c r="N1707" s="5"/>
    </row>
    <row r="1708" ht="12">
      <c r="N1708" s="5"/>
    </row>
    <row r="1709" ht="12">
      <c r="N1709" s="5"/>
    </row>
    <row r="1710" ht="12">
      <c r="N1710" s="5"/>
    </row>
    <row r="1711" ht="12">
      <c r="N1711" s="5"/>
    </row>
    <row r="1712" ht="12">
      <c r="N1712" s="5"/>
    </row>
    <row r="1713" ht="12">
      <c r="N1713" s="5"/>
    </row>
    <row r="1714" ht="12">
      <c r="N1714" s="5"/>
    </row>
    <row r="1715" ht="12">
      <c r="N1715" s="5"/>
    </row>
    <row r="1716" ht="12">
      <c r="N1716" s="5"/>
    </row>
    <row r="1717" ht="12">
      <c r="N1717" s="5"/>
    </row>
    <row r="1718" ht="12">
      <c r="N1718" s="5"/>
    </row>
    <row r="1719" ht="12">
      <c r="N1719" s="5"/>
    </row>
    <row r="1720" spans="1:14" ht="12.75">
      <c r="A1720" s="145"/>
      <c r="B1720" s="231" t="s">
        <v>192</v>
      </c>
      <c r="C1720" s="145"/>
      <c r="D1720" s="235"/>
      <c r="N1720" s="5"/>
    </row>
    <row r="1721" ht="12">
      <c r="N1721" s="5"/>
    </row>
    <row r="1754" ht="12">
      <c r="N1754" s="5"/>
    </row>
    <row r="1755" ht="12">
      <c r="N1755" s="5"/>
    </row>
    <row r="1756" ht="12">
      <c r="N1756" s="5"/>
    </row>
    <row r="1757" ht="12">
      <c r="N1757" s="5"/>
    </row>
    <row r="1758" ht="12">
      <c r="N1758" s="5"/>
    </row>
    <row r="1759" ht="12">
      <c r="N1759" s="5"/>
    </row>
    <row r="1760" ht="12">
      <c r="N1760" s="5"/>
    </row>
    <row r="1761" ht="12">
      <c r="N1761" s="5"/>
    </row>
    <row r="1762" ht="12">
      <c r="N1762" s="5"/>
    </row>
    <row r="1763" ht="12">
      <c r="N1763" s="5"/>
    </row>
    <row r="1764" ht="12">
      <c r="N1764" s="5"/>
    </row>
    <row r="1765" ht="12">
      <c r="N1765" s="5"/>
    </row>
    <row r="1766" ht="12">
      <c r="N1766" s="5"/>
    </row>
    <row r="1767" ht="12">
      <c r="N1767" s="5"/>
    </row>
    <row r="1768" spans="1:14" ht="12.75">
      <c r="A1768" s="145"/>
      <c r="B1768" s="231" t="s">
        <v>192</v>
      </c>
      <c r="C1768" s="145"/>
      <c r="D1768" s="235"/>
      <c r="N1768" s="5"/>
    </row>
    <row r="1769" ht="12">
      <c r="N1769" s="5"/>
    </row>
    <row r="1804" ht="12">
      <c r="N1804" s="5"/>
    </row>
    <row r="1805" ht="12">
      <c r="N1805" s="5"/>
    </row>
    <row r="1806" ht="12">
      <c r="N1806" s="5"/>
    </row>
    <row r="1807" ht="12">
      <c r="N1807" s="5"/>
    </row>
    <row r="1808" ht="12">
      <c r="N1808" s="5"/>
    </row>
    <row r="1809" ht="12">
      <c r="N1809" s="5"/>
    </row>
    <row r="1810" ht="12">
      <c r="N1810" s="5"/>
    </row>
    <row r="1811" ht="12">
      <c r="N1811" s="5"/>
    </row>
    <row r="1812" ht="12">
      <c r="N1812" s="5"/>
    </row>
    <row r="1813" ht="12">
      <c r="N1813" s="5"/>
    </row>
    <row r="1814" ht="12">
      <c r="N1814" s="5"/>
    </row>
    <row r="1815" ht="12">
      <c r="N1815" s="5"/>
    </row>
    <row r="1816" ht="12">
      <c r="N1816" s="5"/>
    </row>
    <row r="1817" ht="12">
      <c r="N1817" s="5"/>
    </row>
    <row r="1818" ht="12">
      <c r="N1818" s="5"/>
    </row>
    <row r="1819" ht="12">
      <c r="N1819" s="5"/>
    </row>
    <row r="1820" ht="12">
      <c r="N1820" s="5"/>
    </row>
    <row r="1821" ht="12">
      <c r="N1821" s="5"/>
    </row>
    <row r="1822" spans="1:14" ht="12.75">
      <c r="A1822" s="145"/>
      <c r="B1822" s="231" t="s">
        <v>193</v>
      </c>
      <c r="C1822" s="145"/>
      <c r="D1822" s="235"/>
      <c r="N1822" s="5"/>
    </row>
    <row r="1823" ht="12">
      <c r="N1823" s="5"/>
    </row>
  </sheetData>
  <sheetProtection/>
  <hyperlinks>
    <hyperlink ref="B69" location="home!A1" tooltip="Menu questionario" display="&lt;-- TORNA a HOME"/>
    <hyperlink ref="B119" location="contesto!A1" tooltip="Menu questionario" display="&lt;-- TORNA a CONTESTO"/>
    <hyperlink ref="B170" location="contesto!A1" tooltip="Menu questionario" display="&lt;-- TORNA a CONTESTO"/>
    <hyperlink ref="B220" location="contesto!A1" tooltip="Menu questionario" display="&lt;-- TORNA a CONTESTO"/>
    <hyperlink ref="B269" location="scelta!A1" tooltip="Menu questionario" display="&lt;-- TORNA a SCELTA"/>
    <hyperlink ref="B320" location="bottom_up!A1" tooltip="Menu questionario" display="&lt;-- TORNA a BOTTOM-UP"/>
    <hyperlink ref="B370" location="bottom_up!A1" tooltip="Menu questionario" display="&lt;-- TORNA a BOTTOM-UP"/>
    <hyperlink ref="B416" location="bottom_up!A1" tooltip="Menu questionario" display="&lt;-- TORNA a BOTTOM-UP"/>
    <hyperlink ref="B466" location="bottom_up!A1" tooltip="Menu questionario" display="&lt;-- TORNA a BOTTOM-UP"/>
    <hyperlink ref="B516" location="bottom_up!A1" tooltip="Menu questionario" display="&lt;-- TORNA a BOTTOM-UP"/>
    <hyperlink ref="B566" location="bottom_up!A1" tooltip="Menu questionario" display="&lt;-- TORNA a BOTTOM-UP"/>
    <hyperlink ref="B616" location="bottom_up!A1" tooltip="Menu questionario" display="&lt;-- TORNA a BOTTOM-UP"/>
    <hyperlink ref="B666" location="bottom_up!A1" tooltip="Menu questionario" display="&lt;-- TORNA a BOTTOM-UP"/>
    <hyperlink ref="B716" location="bottom_up!A1" tooltip="Menu questionario" display="&lt;-- TORNA a BOTTOM-UP"/>
    <hyperlink ref="B766" location="bottom_up!A1" tooltip="Menu questionario" display="&lt;-- TORNA a BOTTOM-UP"/>
    <hyperlink ref="B816" location="bottom_up!A1" tooltip="Menu questionario" display="&lt;-- TORNA a BOTTOM-UP"/>
    <hyperlink ref="B866" location="bottom_up!A1" tooltip="Menu questionario" display="&lt;-- TORNA a BOTTOM-UP"/>
    <hyperlink ref="B915" location="benchmark!A1" display="&lt;-- TORNA a BENCHMARK"/>
    <hyperlink ref="B965" location="benchmark!A1" display="&lt;-- TORNA a BENCHMARK"/>
    <hyperlink ref="B1027" location="benchmark!A1" display="&lt;-- TORNA a BENCHMARK"/>
    <hyperlink ref="B1074" location="benchmark!A1" display="&lt;-- TORNA a BENCHMARK"/>
    <hyperlink ref="B1124" location="benchmark!A1" display="&lt;-- TORNA a BENCHMARK"/>
    <hyperlink ref="B1174" location="benchmark!A1" display="&lt;-- TORNA a BENCHMARK"/>
    <hyperlink ref="B1224" location="benchmark!A1" display="&lt;-- TORNA a BENCHMARK"/>
    <hyperlink ref="B1285" location="top_down!A1" tooltip="Menu questionario" display="&lt;-- TORNA a TOP-DOWN"/>
    <hyperlink ref="B1321" location="top_down!A1" tooltip="Menu questionario" display="&lt;-- TORNA a TOP-DOWN"/>
    <hyperlink ref="B1367" location="top_down!A1" tooltip="Menu questionario" display="&lt;-- TORNA a TOP-DOWN"/>
    <hyperlink ref="B1417" location="top_down!A1" tooltip="Menu questionario" display="&lt;-- TORNA a TOP-DOWN"/>
    <hyperlink ref="B1468" location="top_down!A1" tooltip="Menu questionario" display="&lt;-- TORNA a TOP-DOWN"/>
    <hyperlink ref="B1517" location="top_down!A1" tooltip="Menu questionario" display="&lt;-- TORNA a TOP-DOWN"/>
    <hyperlink ref="B1569" location="top_down!A1" tooltip="Menu questionario" display="&lt;-- TORNA a TOP-DOWN"/>
    <hyperlink ref="B1621" location="top_down!A1" tooltip="Menu questionario" display="&lt;-- TORNA a TOP-DOWN"/>
    <hyperlink ref="B1670" location="top_down!A1" tooltip="Menu questionario" display="&lt;-- TORNA a TOP-DOWN"/>
    <hyperlink ref="B1720" location="top_down!A1" tooltip="Menu questionario" display="&lt;-- TORNA a TOP-DOWN"/>
    <hyperlink ref="B1768" location="top_down!A1" tooltip="Menu questionario" display="&lt;-- TORNA a TOP-DOWN"/>
    <hyperlink ref="B1822" location="riepilogo!A1" tooltip="Menu questionario" display="&lt;-- TORNA a RIEPILOGO"/>
  </hyperlinks>
  <printOptions/>
  <pageMargins left="0.75" right="0.75" top="1" bottom="1" header="0.5" footer="0.5"/>
  <pageSetup horizontalDpi="600" verticalDpi="600" orientation="portrait" paperSize="9" r:id="rId4"/>
  <drawing r:id="rId3"/>
  <legacyDrawing r:id="rId2"/>
  <oleObjects>
    <oleObject progId="MSPhotoEd.3" shapeId="88321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Nestplan Europe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d.possati</dc:creator>
  <cp:keywords/>
  <dc:description/>
  <cp:lastModifiedBy>Alfonso Pace</cp:lastModifiedBy>
  <cp:lastPrinted>2005-09-13T07:38:00Z</cp:lastPrinted>
  <dcterms:created xsi:type="dcterms:W3CDTF">2005-05-13T07:33:14Z</dcterms:created>
  <dcterms:modified xsi:type="dcterms:W3CDTF">2008-05-06T07:59:40Z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